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201608\20160800\03_Studies\Working\BCA\"/>
    </mc:Choice>
  </mc:AlternateContent>
  <bookViews>
    <workbookView xWindow="0" yWindow="0" windowWidth="18870" windowHeight="7515" tabRatio="803" activeTab="1"/>
  </bookViews>
  <sheets>
    <sheet name="Summary Matrix" sheetId="5" r:id="rId1"/>
    <sheet name="BCA Results" sheetId="4" r:id="rId2"/>
    <sheet name="TOTAL Travel Time" sheetId="9" r:id="rId3"/>
    <sheet name="Travel Time - Calc" sheetId="8" r:id="rId4"/>
    <sheet name="Travel Time - Value" sheetId="7" r:id="rId5"/>
    <sheet name="TOTAL Safety Benefits" sheetId="14" r:id="rId6"/>
    <sheet name="Safety Benefits - Calc" sheetId="3" r:id="rId7"/>
    <sheet name="CMF - Values" sheetId="13" r:id="rId8"/>
    <sheet name="KABCO Level - Values" sheetId="1" r:id="rId9"/>
    <sheet name="TOTAL Emissions" sheetId="11" r:id="rId10"/>
    <sheet name="Emission - Calc (Non-CO2)" sheetId="10" r:id="rId11"/>
    <sheet name="Emission - Calc (CO2)" sheetId="12" r:id="rId12"/>
    <sheet name="Emission - Values" sheetId="6" r:id="rId13"/>
    <sheet name="TOTAL Fuel Savings" sheetId="17" r:id="rId14"/>
    <sheet name="Fuel Savings - Calc" sheetId="15" r:id="rId15"/>
    <sheet name="Fuel Savings - Values" sheetId="18" r:id="rId16"/>
    <sheet name="ITS &amp; Connected Veh Savings" sheetId="21" r:id="rId17"/>
    <sheet name="ITS &amp; Connected Veh - Back Calc" sheetId="22" r:id="rId18"/>
    <sheet name="Operations &amp; Maintenance Costs" sheetId="23" r:id="rId19"/>
    <sheet name="Inflation Adjustment - Values" sheetId="2" r:id="rId20"/>
  </sheets>
  <definedNames>
    <definedName name="_xlnm._FilterDatabase" localSheetId="7" hidden="1">'CMF - Values'!$A$3:$H$3</definedName>
    <definedName name="_xlnm._FilterDatabase" localSheetId="11" hidden="1">'Emission - Calc (CO2)'!$A$4:$AH$4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3" l="1"/>
  <c r="D7" i="23" s="1"/>
  <c r="D8" i="23" s="1"/>
  <c r="D9" i="23" s="1"/>
  <c r="D10" i="23" s="1"/>
  <c r="D11" i="23" s="1"/>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P29" i="4" l="1"/>
  <c r="AB9" i="21" l="1"/>
  <c r="AB8" i="21"/>
  <c r="AB7" i="21"/>
  <c r="AB6" i="21"/>
  <c r="AB5" i="21"/>
  <c r="Y9" i="21"/>
  <c r="Y8" i="21"/>
  <c r="Y7" i="21"/>
  <c r="Y6" i="21"/>
  <c r="Y5" i="21"/>
  <c r="X9" i="21"/>
  <c r="X8" i="21"/>
  <c r="X7" i="21"/>
  <c r="X6" i="21"/>
  <c r="X5" i="21"/>
  <c r="W9" i="21"/>
  <c r="W8" i="21"/>
  <c r="W7" i="21"/>
  <c r="W6" i="21"/>
  <c r="W5" i="21"/>
  <c r="V9" i="21"/>
  <c r="V8" i="21"/>
  <c r="V7" i="21"/>
  <c r="V6" i="21"/>
  <c r="V5" i="21"/>
  <c r="U9" i="21"/>
  <c r="U8" i="21"/>
  <c r="U7" i="21"/>
  <c r="U6" i="21"/>
  <c r="U5" i="21"/>
  <c r="N9" i="21"/>
  <c r="N8" i="21"/>
  <c r="N7" i="21"/>
  <c r="N6" i="21"/>
  <c r="N5" i="21"/>
  <c r="M9" i="21"/>
  <c r="M8" i="21"/>
  <c r="M7" i="21"/>
  <c r="M6" i="21"/>
  <c r="M5" i="21"/>
  <c r="L9" i="21"/>
  <c r="L8" i="21"/>
  <c r="L7" i="21"/>
  <c r="L6" i="21"/>
  <c r="L5" i="21"/>
  <c r="K9" i="21"/>
  <c r="K8" i="21"/>
  <c r="K7" i="21"/>
  <c r="K6" i="21"/>
  <c r="K5" i="21"/>
  <c r="J9" i="21"/>
  <c r="J8" i="21"/>
  <c r="J7" i="21"/>
  <c r="J6" i="21"/>
  <c r="J5" i="21"/>
  <c r="G9" i="21"/>
  <c r="G8" i="21"/>
  <c r="G7" i="21"/>
  <c r="G6" i="21"/>
  <c r="G5" i="21"/>
  <c r="F9" i="21"/>
  <c r="F8" i="21"/>
  <c r="F7" i="21"/>
  <c r="F6" i="21"/>
  <c r="F5" i="21"/>
  <c r="E9" i="21"/>
  <c r="E8" i="21"/>
  <c r="E7" i="21"/>
  <c r="E6" i="21"/>
  <c r="E5" i="21"/>
  <c r="C6" i="17"/>
  <c r="C7" i="17"/>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5" i="17"/>
  <c r="C4" i="17"/>
  <c r="G6" i="11"/>
  <c r="G7" i="11"/>
  <c r="G8" i="11"/>
  <c r="G9" i="11"/>
  <c r="G10" i="11"/>
  <c r="G11" i="11"/>
  <c r="G12" i="11" s="1"/>
  <c r="G13" i="11" s="1"/>
  <c r="G14" i="11" s="1"/>
  <c r="G15" i="11" s="1"/>
  <c r="G16" i="11" s="1"/>
  <c r="G17" i="11" s="1"/>
  <c r="G18" i="11" s="1"/>
  <c r="G19" i="11" s="1"/>
  <c r="G20" i="11" s="1"/>
  <c r="G21" i="11" s="1"/>
  <c r="G22" i="11" s="1"/>
  <c r="G23" i="11" s="1"/>
  <c r="G24" i="11" s="1"/>
  <c r="G25" i="11" s="1"/>
  <c r="G26" i="11" s="1"/>
  <c r="G27" i="11" s="1"/>
  <c r="G28" i="11" s="1"/>
  <c r="G29" i="11" s="1"/>
  <c r="G30" i="11" s="1"/>
  <c r="G5" i="11"/>
  <c r="G4" i="11"/>
  <c r="F6" i="11"/>
  <c r="F7" i="11"/>
  <c r="F8" i="11"/>
  <c r="F9" i="11" s="1"/>
  <c r="F10" i="11" s="1"/>
  <c r="F11" i="11" s="1"/>
  <c r="F12" i="11" s="1"/>
  <c r="F13" i="11" s="1"/>
  <c r="F14" i="11" s="1"/>
  <c r="F15" i="11" s="1"/>
  <c r="F16" i="11" s="1"/>
  <c r="F17" i="11" s="1"/>
  <c r="F18" i="11" s="1"/>
  <c r="F19" i="11" s="1"/>
  <c r="F20" i="11" s="1"/>
  <c r="F21" i="11" s="1"/>
  <c r="F22" i="11" s="1"/>
  <c r="F23" i="11" s="1"/>
  <c r="F24" i="11" s="1"/>
  <c r="F25" i="11" s="1"/>
  <c r="F26" i="11" s="1"/>
  <c r="F27" i="11" s="1"/>
  <c r="F28" i="11" s="1"/>
  <c r="F29" i="11" s="1"/>
  <c r="F30" i="11" s="1"/>
  <c r="F5" i="11"/>
  <c r="F4" i="11"/>
  <c r="E6" i="11"/>
  <c r="E7" i="1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5" i="11"/>
  <c r="E4" i="11"/>
  <c r="D6" i="11"/>
  <c r="D7" i="11"/>
  <c r="D8" i="11"/>
  <c r="D9" i="11"/>
  <c r="D10" i="1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5" i="11"/>
  <c r="D4" i="11"/>
  <c r="C6" i="1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5" i="11"/>
  <c r="C4" i="11"/>
  <c r="G8" i="14"/>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7" i="14"/>
  <c r="G6" i="14"/>
  <c r="F8" i="14"/>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7" i="14"/>
  <c r="F6" i="14"/>
  <c r="E8" i="14"/>
  <c r="E9" i="14"/>
  <c r="E10" i="14" s="1"/>
  <c r="E11" i="14" s="1"/>
  <c r="E12" i="14" s="1"/>
  <c r="E13" i="14" s="1"/>
  <c r="E14" i="14" s="1"/>
  <c r="E15" i="14" s="1"/>
  <c r="E16" i="14" s="1"/>
  <c r="E17" i="14" s="1"/>
  <c r="E18" i="14" s="1"/>
  <c r="E19" i="14" s="1"/>
  <c r="E20" i="14" s="1"/>
  <c r="E21" i="14" s="1"/>
  <c r="E22" i="14" s="1"/>
  <c r="E23" i="14" s="1"/>
  <c r="E24" i="14" s="1"/>
  <c r="E25" i="14" s="1"/>
  <c r="E26" i="14" s="1"/>
  <c r="E27" i="14" s="1"/>
  <c r="E28" i="14" s="1"/>
  <c r="E29" i="14" s="1"/>
  <c r="E30" i="14" s="1"/>
  <c r="E31" i="14" s="1"/>
  <c r="E32" i="14" s="1"/>
  <c r="E7" i="14"/>
  <c r="E6" i="14"/>
  <c r="D8" i="14"/>
  <c r="D9" i="14" s="1"/>
  <c r="D10" i="14" s="1"/>
  <c r="D11" i="14" s="1"/>
  <c r="D12" i="14" s="1"/>
  <c r="D13" i="14" s="1"/>
  <c r="D14" i="14" s="1"/>
  <c r="D15" i="14" s="1"/>
  <c r="D16" i="14" s="1"/>
  <c r="D17" i="14" s="1"/>
  <c r="D18" i="14" s="1"/>
  <c r="D19" i="14" s="1"/>
  <c r="D20" i="14" s="1"/>
  <c r="D21" i="14" s="1"/>
  <c r="D22" i="14" s="1"/>
  <c r="D23" i="14" s="1"/>
  <c r="D24" i="14" s="1"/>
  <c r="D25" i="14" s="1"/>
  <c r="D26" i="14" s="1"/>
  <c r="D27" i="14" s="1"/>
  <c r="D28" i="14" s="1"/>
  <c r="D29" i="14" s="1"/>
  <c r="D30" i="14" s="1"/>
  <c r="D31" i="14" s="1"/>
  <c r="D32" i="14" s="1"/>
  <c r="D7" i="14"/>
  <c r="D6" i="14"/>
  <c r="C8" i="14"/>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7" i="14"/>
  <c r="C6" i="14"/>
  <c r="E4" i="9"/>
  <c r="E5" i="9"/>
  <c r="E6" i="9" s="1"/>
  <c r="E7" i="9" s="1"/>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D6" i="9"/>
  <c r="D7" i="9"/>
  <c r="D8" i="9"/>
  <c r="D9" i="9" s="1"/>
  <c r="D10" i="9" s="1"/>
  <c r="D11" i="9" s="1"/>
  <c r="D12" i="9" s="1"/>
  <c r="D13" i="9" s="1"/>
  <c r="D14" i="9" s="1"/>
  <c r="D15" i="9" s="1"/>
  <c r="D16" i="9" s="1"/>
  <c r="D17" i="9" s="1"/>
  <c r="D18" i="9" s="1"/>
  <c r="D19" i="9" s="1"/>
  <c r="D20" i="9" s="1"/>
  <c r="D21" i="9" s="1"/>
  <c r="D22" i="9" s="1"/>
  <c r="D23" i="9" s="1"/>
  <c r="D24" i="9" s="1"/>
  <c r="D25" i="9" s="1"/>
  <c r="D26" i="9" s="1"/>
  <c r="D27" i="9" s="1"/>
  <c r="D28" i="9" s="1"/>
  <c r="D29" i="9" s="1"/>
  <c r="D30" i="9" s="1"/>
  <c r="D5" i="9"/>
  <c r="D4" i="9"/>
  <c r="C6" i="9"/>
  <c r="C7" i="9" s="1"/>
  <c r="C8" i="9" s="1"/>
  <c r="C9" i="9" s="1"/>
  <c r="C10" i="9" s="1"/>
  <c r="C11" i="9" s="1"/>
  <c r="C12" i="9" s="1"/>
  <c r="C13" i="9" s="1"/>
  <c r="C14" i="9" s="1"/>
  <c r="C15" i="9" s="1"/>
  <c r="C16" i="9" s="1"/>
  <c r="C17" i="9" s="1"/>
  <c r="C18" i="9" s="1"/>
  <c r="C19" i="9" s="1"/>
  <c r="C20" i="9" s="1"/>
  <c r="C21" i="9" s="1"/>
  <c r="C22" i="9" s="1"/>
  <c r="C23" i="9" s="1"/>
  <c r="C24" i="9" s="1"/>
  <c r="C25" i="9" s="1"/>
  <c r="C26" i="9" s="1"/>
  <c r="C27" i="9" s="1"/>
  <c r="C28" i="9" s="1"/>
  <c r="C29" i="9" s="1"/>
  <c r="C30" i="9" s="1"/>
  <c r="C5" i="9"/>
  <c r="C4" i="9"/>
  <c r="M3" i="4" l="1"/>
  <c r="M4" i="4"/>
  <c r="M5" i="4"/>
  <c r="M6" i="4"/>
  <c r="M7" i="4"/>
  <c r="M8" i="4"/>
  <c r="M2" i="4"/>
  <c r="G13" i="23"/>
  <c r="G14" i="23"/>
  <c r="G15" i="23"/>
  <c r="G16" i="23"/>
  <c r="G17" i="23"/>
  <c r="G18" i="23"/>
  <c r="G19" i="23"/>
  <c r="G20" i="23"/>
  <c r="G21" i="23"/>
  <c r="G22" i="23"/>
  <c r="G23" i="23"/>
  <c r="G24" i="23"/>
  <c r="G25" i="23"/>
  <c r="G26" i="23"/>
  <c r="G27" i="23"/>
  <c r="G28" i="23"/>
  <c r="G29" i="23"/>
  <c r="G30" i="23"/>
  <c r="G31" i="23"/>
  <c r="G12" i="23"/>
  <c r="B44" i="23"/>
  <c r="H15" i="23" l="1"/>
  <c r="M12" i="4" s="1"/>
  <c r="G32" i="23"/>
  <c r="G33" i="23"/>
  <c r="H26" i="23"/>
  <c r="M23" i="4" s="1"/>
  <c r="H25" i="23"/>
  <c r="M22" i="4" s="1"/>
  <c r="H17" i="23"/>
  <c r="M14" i="4" s="1"/>
  <c r="D5" i="23"/>
  <c r="H24" i="23"/>
  <c r="M21" i="4" s="1"/>
  <c r="H16" i="23"/>
  <c r="M13" i="4" s="1"/>
  <c r="H31" i="23"/>
  <c r="M28" i="4" s="1"/>
  <c r="H22" i="23"/>
  <c r="M19" i="4" s="1"/>
  <c r="H29" i="23"/>
  <c r="M26" i="4" s="1"/>
  <c r="H13" i="23"/>
  <c r="M10" i="4" s="1"/>
  <c r="H28" i="23"/>
  <c r="M25" i="4" s="1"/>
  <c r="H20" i="23"/>
  <c r="M17" i="4" s="1"/>
  <c r="H18" i="23"/>
  <c r="M15" i="4" s="1"/>
  <c r="H23" i="23"/>
  <c r="M20" i="4" s="1"/>
  <c r="H30" i="23"/>
  <c r="M27" i="4" s="1"/>
  <c r="H14" i="23"/>
  <c r="M11" i="4" s="1"/>
  <c r="H21" i="23"/>
  <c r="M18" i="4" s="1"/>
  <c r="H27" i="23"/>
  <c r="M24" i="4" s="1"/>
  <c r="H19" i="23"/>
  <c r="M16" i="4" s="1"/>
  <c r="D32" i="23" l="1"/>
  <c r="D33" i="23"/>
  <c r="H12" i="23"/>
  <c r="C7" i="4"/>
  <c r="D7" i="4" s="1"/>
  <c r="C8" i="4"/>
  <c r="D8" i="4" s="1"/>
  <c r="C6" i="4"/>
  <c r="M9" i="4" l="1"/>
  <c r="H32" i="23"/>
  <c r="H33" i="23"/>
  <c r="G5" i="22"/>
  <c r="AD6" i="21" l="1"/>
  <c r="O3" i="4" s="1"/>
  <c r="AD7" i="21"/>
  <c r="O4" i="4" s="1"/>
  <c r="AD8" i="21"/>
  <c r="O5" i="4" s="1"/>
  <c r="AD9" i="21"/>
  <c r="O6" i="4" s="1"/>
  <c r="AD10" i="21"/>
  <c r="O7" i="4" s="1"/>
  <c r="AD11" i="21"/>
  <c r="O8" i="4" s="1"/>
  <c r="AD5" i="21"/>
  <c r="O2" i="4" s="1"/>
  <c r="AA6" i="21"/>
  <c r="AA7" i="21"/>
  <c r="AA8" i="21"/>
  <c r="AA9" i="21"/>
  <c r="AA10" i="21"/>
  <c r="AB10" i="21" s="1"/>
  <c r="AA11" i="21"/>
  <c r="AB11" i="21" s="1"/>
  <c r="AA12" i="21"/>
  <c r="AB12" i="21" s="1"/>
  <c r="AA13" i="21"/>
  <c r="AB13" i="21" s="1"/>
  <c r="AA14" i="21"/>
  <c r="AB14" i="21" s="1"/>
  <c r="AA15" i="21"/>
  <c r="AB15" i="21" s="1"/>
  <c r="AA16" i="21"/>
  <c r="AB16" i="21" s="1"/>
  <c r="AA17" i="21"/>
  <c r="AB17" i="21" s="1"/>
  <c r="AA18" i="21"/>
  <c r="AB18" i="21" s="1"/>
  <c r="AA19" i="21"/>
  <c r="AB19" i="21" s="1"/>
  <c r="AA20" i="21"/>
  <c r="AB20" i="21" s="1"/>
  <c r="AA21" i="21"/>
  <c r="AB21" i="21" s="1"/>
  <c r="AA22" i="21"/>
  <c r="AB22" i="21" s="1"/>
  <c r="AA23" i="21"/>
  <c r="AB23" i="21" s="1"/>
  <c r="AA24" i="21"/>
  <c r="AB24" i="21" s="1"/>
  <c r="AA25" i="21"/>
  <c r="AB25" i="21" s="1"/>
  <c r="AA26" i="21"/>
  <c r="AB26" i="21" s="1"/>
  <c r="AA27" i="21"/>
  <c r="AB27" i="21" s="1"/>
  <c r="AA28" i="21"/>
  <c r="AB28" i="21" s="1"/>
  <c r="AA29" i="21"/>
  <c r="AB29" i="21" s="1"/>
  <c r="AA30" i="21"/>
  <c r="AB30" i="21" s="1"/>
  <c r="AA31" i="21"/>
  <c r="AB31" i="21" s="1"/>
  <c r="AA5" i="21"/>
  <c r="T6" i="21"/>
  <c r="T7" i="21"/>
  <c r="T8" i="21"/>
  <c r="T9" i="21"/>
  <c r="T10" i="21"/>
  <c r="Y10" i="21" s="1"/>
  <c r="T11" i="21"/>
  <c r="Y11" i="21" s="1"/>
  <c r="T12" i="21"/>
  <c r="Y12" i="21" s="1"/>
  <c r="T13" i="21"/>
  <c r="Y13" i="21" s="1"/>
  <c r="T14" i="21"/>
  <c r="Y14" i="21" s="1"/>
  <c r="T15" i="21"/>
  <c r="Y15" i="21" s="1"/>
  <c r="T16" i="21"/>
  <c r="Y16" i="21" s="1"/>
  <c r="T17" i="21"/>
  <c r="Y17" i="21" s="1"/>
  <c r="T18" i="21"/>
  <c r="Y18" i="21" s="1"/>
  <c r="T19" i="21"/>
  <c r="Y19" i="21" s="1"/>
  <c r="T20" i="21"/>
  <c r="Y20" i="21" s="1"/>
  <c r="T21" i="21"/>
  <c r="Y21" i="21" s="1"/>
  <c r="T22" i="21"/>
  <c r="Y22" i="21" s="1"/>
  <c r="T23" i="21"/>
  <c r="Y23" i="21" s="1"/>
  <c r="T24" i="21"/>
  <c r="Y24" i="21" s="1"/>
  <c r="T25" i="21"/>
  <c r="Y25" i="21" s="1"/>
  <c r="T26" i="21"/>
  <c r="Y26" i="21" s="1"/>
  <c r="T27" i="21"/>
  <c r="Y27" i="21" s="1"/>
  <c r="T28" i="21"/>
  <c r="Y28" i="21" s="1"/>
  <c r="T29" i="21"/>
  <c r="Y29" i="21" s="1"/>
  <c r="T30" i="21"/>
  <c r="Y30" i="21" s="1"/>
  <c r="T31" i="21"/>
  <c r="Y31" i="21" s="1"/>
  <c r="T5" i="21"/>
  <c r="S6" i="21"/>
  <c r="S7" i="21"/>
  <c r="S8" i="21"/>
  <c r="S9" i="21"/>
  <c r="S10" i="21"/>
  <c r="X10" i="21" s="1"/>
  <c r="S11" i="21"/>
  <c r="X11" i="21" s="1"/>
  <c r="S12" i="21"/>
  <c r="X12" i="21" s="1"/>
  <c r="S13" i="21"/>
  <c r="X13" i="21" s="1"/>
  <c r="S14" i="21"/>
  <c r="X14" i="21" s="1"/>
  <c r="S15" i="21"/>
  <c r="X15" i="21" s="1"/>
  <c r="S16" i="21"/>
  <c r="X16" i="21" s="1"/>
  <c r="S17" i="21"/>
  <c r="X17" i="21" s="1"/>
  <c r="S18" i="21"/>
  <c r="X18" i="21" s="1"/>
  <c r="S19" i="21"/>
  <c r="X19" i="21" s="1"/>
  <c r="S20" i="21"/>
  <c r="X20" i="21" s="1"/>
  <c r="S21" i="21"/>
  <c r="X21" i="21" s="1"/>
  <c r="S22" i="21"/>
  <c r="X22" i="21" s="1"/>
  <c r="S23" i="21"/>
  <c r="X23" i="21" s="1"/>
  <c r="S24" i="21"/>
  <c r="X24" i="21" s="1"/>
  <c r="S25" i="21"/>
  <c r="X25" i="21" s="1"/>
  <c r="S26" i="21"/>
  <c r="X26" i="21" s="1"/>
  <c r="S27" i="21"/>
  <c r="X27" i="21" s="1"/>
  <c r="S28" i="21"/>
  <c r="X28" i="21" s="1"/>
  <c r="S29" i="21"/>
  <c r="X29" i="21" s="1"/>
  <c r="S30" i="21"/>
  <c r="X30" i="21" s="1"/>
  <c r="S31" i="21"/>
  <c r="X31" i="21" s="1"/>
  <c r="S5" i="21"/>
  <c r="R6" i="21"/>
  <c r="R7" i="21"/>
  <c r="R8" i="21"/>
  <c r="R9" i="21"/>
  <c r="R10" i="21"/>
  <c r="W10" i="21" s="1"/>
  <c r="R11" i="21"/>
  <c r="W11" i="21" s="1"/>
  <c r="R12" i="21"/>
  <c r="W12" i="21" s="1"/>
  <c r="R13" i="21"/>
  <c r="W13" i="21" s="1"/>
  <c r="R14" i="21"/>
  <c r="W14" i="21" s="1"/>
  <c r="R15" i="21"/>
  <c r="W15" i="21" s="1"/>
  <c r="R16" i="21"/>
  <c r="W16" i="21" s="1"/>
  <c r="R17" i="21"/>
  <c r="W17" i="21" s="1"/>
  <c r="R18" i="21"/>
  <c r="W18" i="21" s="1"/>
  <c r="R19" i="21"/>
  <c r="W19" i="21" s="1"/>
  <c r="R20" i="21"/>
  <c r="W20" i="21" s="1"/>
  <c r="R21" i="21"/>
  <c r="W21" i="21" s="1"/>
  <c r="R22" i="21"/>
  <c r="W22" i="21" s="1"/>
  <c r="R23" i="21"/>
  <c r="W23" i="21" s="1"/>
  <c r="R24" i="21"/>
  <c r="W24" i="21" s="1"/>
  <c r="R25" i="21"/>
  <c r="W25" i="21" s="1"/>
  <c r="R26" i="21"/>
  <c r="W26" i="21" s="1"/>
  <c r="R27" i="21"/>
  <c r="W27" i="21" s="1"/>
  <c r="R28" i="21"/>
  <c r="W28" i="21" s="1"/>
  <c r="R29" i="21"/>
  <c r="W29" i="21" s="1"/>
  <c r="R30" i="21"/>
  <c r="W30" i="21" s="1"/>
  <c r="R31" i="21"/>
  <c r="W31" i="21" s="1"/>
  <c r="R5" i="21"/>
  <c r="Q6" i="21"/>
  <c r="Q7" i="21"/>
  <c r="Q8" i="21"/>
  <c r="Q9" i="21"/>
  <c r="Q10" i="21"/>
  <c r="V10" i="21" s="1"/>
  <c r="Q11" i="21"/>
  <c r="V11" i="21" s="1"/>
  <c r="Q12" i="21"/>
  <c r="V12" i="21" s="1"/>
  <c r="Q13" i="21"/>
  <c r="V13" i="21" s="1"/>
  <c r="Q14" i="21"/>
  <c r="V14" i="21" s="1"/>
  <c r="Q15" i="21"/>
  <c r="V15" i="21" s="1"/>
  <c r="Q16" i="21"/>
  <c r="V16" i="21" s="1"/>
  <c r="Q17" i="21"/>
  <c r="V17" i="21" s="1"/>
  <c r="Q18" i="21"/>
  <c r="V18" i="21" s="1"/>
  <c r="Q19" i="21"/>
  <c r="V19" i="21" s="1"/>
  <c r="Q20" i="21"/>
  <c r="V20" i="21" s="1"/>
  <c r="Q21" i="21"/>
  <c r="V21" i="21" s="1"/>
  <c r="Q22" i="21"/>
  <c r="V22" i="21" s="1"/>
  <c r="Q23" i="21"/>
  <c r="V23" i="21" s="1"/>
  <c r="Q24" i="21"/>
  <c r="V24" i="21" s="1"/>
  <c r="Q25" i="21"/>
  <c r="V25" i="21" s="1"/>
  <c r="Q26" i="21"/>
  <c r="V26" i="21" s="1"/>
  <c r="Q27" i="21"/>
  <c r="V27" i="21" s="1"/>
  <c r="Q28" i="21"/>
  <c r="V28" i="21" s="1"/>
  <c r="Q29" i="21"/>
  <c r="V29" i="21" s="1"/>
  <c r="Q30" i="21"/>
  <c r="V30" i="21" s="1"/>
  <c r="Q31" i="21"/>
  <c r="V31" i="21" s="1"/>
  <c r="P6" i="21"/>
  <c r="P7" i="21"/>
  <c r="P8" i="21"/>
  <c r="P9" i="21"/>
  <c r="P10" i="21"/>
  <c r="U10" i="21" s="1"/>
  <c r="P11" i="21"/>
  <c r="U11" i="21" s="1"/>
  <c r="P12" i="21"/>
  <c r="U12" i="21" s="1"/>
  <c r="P13" i="21"/>
  <c r="U13" i="21" s="1"/>
  <c r="P14" i="21"/>
  <c r="U14" i="21" s="1"/>
  <c r="P15" i="21"/>
  <c r="U15" i="21" s="1"/>
  <c r="P16" i="21"/>
  <c r="U16" i="21" s="1"/>
  <c r="P17" i="21"/>
  <c r="U17" i="21" s="1"/>
  <c r="P18" i="21"/>
  <c r="U18" i="21" s="1"/>
  <c r="P19" i="21"/>
  <c r="U19" i="21" s="1"/>
  <c r="P20" i="21"/>
  <c r="U20" i="21" s="1"/>
  <c r="P21" i="21"/>
  <c r="U21" i="21" s="1"/>
  <c r="P22" i="21"/>
  <c r="U22" i="21" s="1"/>
  <c r="P23" i="21"/>
  <c r="U23" i="21" s="1"/>
  <c r="P24" i="21"/>
  <c r="U24" i="21" s="1"/>
  <c r="P25" i="21"/>
  <c r="U25" i="21" s="1"/>
  <c r="P26" i="21"/>
  <c r="U26" i="21" s="1"/>
  <c r="P27" i="21"/>
  <c r="U27" i="21" s="1"/>
  <c r="P28" i="21"/>
  <c r="U28" i="21" s="1"/>
  <c r="P29" i="21"/>
  <c r="U29" i="21" s="1"/>
  <c r="P30" i="21"/>
  <c r="U30" i="21" s="1"/>
  <c r="P31" i="21"/>
  <c r="U31" i="21" s="1"/>
  <c r="P5" i="21"/>
  <c r="Q5" i="2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5" i="21"/>
  <c r="S6" i="22"/>
  <c r="T6" i="22"/>
  <c r="U6" i="22"/>
  <c r="V6" i="22"/>
  <c r="R6" i="22"/>
  <c r="L31" i="21" l="1"/>
  <c r="N31" i="21"/>
  <c r="M31" i="21"/>
  <c r="J31" i="21"/>
  <c r="K31" i="21"/>
  <c r="M30" i="21"/>
  <c r="N30" i="21"/>
  <c r="J30" i="21"/>
  <c r="K30" i="21"/>
  <c r="L30" i="21"/>
  <c r="M29" i="21"/>
  <c r="N29" i="21"/>
  <c r="J29" i="21"/>
  <c r="L29" i="21"/>
  <c r="K29" i="21"/>
  <c r="N28" i="21"/>
  <c r="M28" i="21"/>
  <c r="L28" i="21"/>
  <c r="K28" i="21"/>
  <c r="J28" i="21"/>
  <c r="N27" i="21"/>
  <c r="J27" i="21"/>
  <c r="M27" i="21"/>
  <c r="K27" i="21"/>
  <c r="L27" i="21"/>
  <c r="K26" i="21"/>
  <c r="M26" i="21"/>
  <c r="J26" i="21"/>
  <c r="L26" i="21"/>
  <c r="N26" i="21"/>
  <c r="M25" i="21"/>
  <c r="K25" i="21"/>
  <c r="N25" i="21"/>
  <c r="L25" i="21"/>
  <c r="J25" i="21"/>
  <c r="N24" i="21"/>
  <c r="L24" i="21"/>
  <c r="J24" i="21"/>
  <c r="M24" i="21"/>
  <c r="K24" i="21"/>
  <c r="K23" i="21"/>
  <c r="L23" i="21"/>
  <c r="M23" i="21"/>
  <c r="N23" i="21"/>
  <c r="J23" i="21"/>
  <c r="K22" i="21"/>
  <c r="L22" i="21"/>
  <c r="M22" i="21"/>
  <c r="N22" i="21"/>
  <c r="J22" i="21"/>
  <c r="N21" i="21"/>
  <c r="M21" i="21"/>
  <c r="L21" i="21"/>
  <c r="K21" i="21"/>
  <c r="J21" i="21"/>
  <c r="N20" i="21"/>
  <c r="M20" i="21"/>
  <c r="L20" i="21"/>
  <c r="K20" i="21"/>
  <c r="J20" i="21"/>
  <c r="K19" i="21"/>
  <c r="N19" i="21"/>
  <c r="J19" i="21"/>
  <c r="M19" i="21"/>
  <c r="L19" i="21"/>
  <c r="K18" i="21"/>
  <c r="M18" i="21"/>
  <c r="J18" i="21"/>
  <c r="N18" i="21"/>
  <c r="L18" i="21"/>
  <c r="M17" i="21"/>
  <c r="K17" i="21"/>
  <c r="N17" i="21"/>
  <c r="L17" i="21"/>
  <c r="J17" i="21"/>
  <c r="J16" i="21"/>
  <c r="L16" i="21"/>
  <c r="M16" i="21"/>
  <c r="K16" i="21"/>
  <c r="N16" i="21"/>
  <c r="L15" i="21"/>
  <c r="M15" i="21"/>
  <c r="N15" i="21"/>
  <c r="K15" i="21"/>
  <c r="J15" i="21"/>
  <c r="J14" i="21"/>
  <c r="K14" i="21"/>
  <c r="L14" i="21"/>
  <c r="M14" i="21"/>
  <c r="N14" i="21"/>
  <c r="L13" i="21"/>
  <c r="N13" i="21"/>
  <c r="M13" i="21"/>
  <c r="K13" i="21"/>
  <c r="J13" i="21"/>
  <c r="J12" i="21"/>
  <c r="N12" i="21"/>
  <c r="M12" i="21"/>
  <c r="L12" i="21"/>
  <c r="K12" i="21"/>
  <c r="M11" i="21"/>
  <c r="L11" i="21"/>
  <c r="K11" i="21"/>
  <c r="N11" i="21"/>
  <c r="J11" i="21"/>
  <c r="M10" i="21"/>
  <c r="J10" i="21"/>
  <c r="L10" i="21"/>
  <c r="N10" i="21"/>
  <c r="K10"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5" i="21"/>
  <c r="N6" i="22"/>
  <c r="N7" i="22"/>
  <c r="N8" i="22"/>
  <c r="N91" i="22" s="1"/>
  <c r="N9" i="22"/>
  <c r="N10" i="22"/>
  <c r="N11" i="22"/>
  <c r="N12" i="22"/>
  <c r="N13" i="22"/>
  <c r="N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N55" i="22"/>
  <c r="N56" i="22"/>
  <c r="N57" i="22"/>
  <c r="N58" i="22"/>
  <c r="N59" i="22"/>
  <c r="N60" i="22"/>
  <c r="N61" i="22"/>
  <c r="N62" i="22"/>
  <c r="N63" i="22"/>
  <c r="N64" i="22"/>
  <c r="N65" i="22"/>
  <c r="N66" i="22"/>
  <c r="N67" i="22"/>
  <c r="N68" i="22"/>
  <c r="N69" i="22"/>
  <c r="N70" i="22"/>
  <c r="N71" i="22"/>
  <c r="N72" i="22"/>
  <c r="N73" i="22"/>
  <c r="N74" i="22"/>
  <c r="N75" i="22"/>
  <c r="N76" i="22"/>
  <c r="N77" i="22"/>
  <c r="N78" i="22"/>
  <c r="N79" i="22"/>
  <c r="N80" i="22"/>
  <c r="N81" i="22"/>
  <c r="N82" i="22"/>
  <c r="N83" i="22"/>
  <c r="N84" i="22"/>
  <c r="N85" i="22"/>
  <c r="N86" i="22"/>
  <c r="N87" i="22"/>
  <c r="N88" i="22"/>
  <c r="N89" i="22"/>
  <c r="N90" i="22"/>
  <c r="N5" i="22"/>
  <c r="M6" i="22"/>
  <c r="M7" i="22"/>
  <c r="M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5" i="22"/>
  <c r="M91" i="22" s="1"/>
  <c r="L6" i="22"/>
  <c r="L7" i="22"/>
  <c r="L8" i="22"/>
  <c r="L9"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71" i="22"/>
  <c r="L72" i="22"/>
  <c r="L73" i="22"/>
  <c r="L74" i="22"/>
  <c r="L75" i="22"/>
  <c r="L76" i="22"/>
  <c r="L77" i="22"/>
  <c r="L78" i="22"/>
  <c r="L79" i="22"/>
  <c r="L80" i="22"/>
  <c r="L81" i="22"/>
  <c r="L82" i="22"/>
  <c r="L83" i="22"/>
  <c r="L84" i="22"/>
  <c r="L85" i="22"/>
  <c r="L86" i="22"/>
  <c r="L87" i="22"/>
  <c r="L88" i="22"/>
  <c r="L89" i="22"/>
  <c r="L90" i="22"/>
  <c r="L5" i="22"/>
  <c r="L91" i="22" s="1"/>
  <c r="AK6" i="10"/>
  <c r="K6" i="22"/>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5" i="22"/>
  <c r="K91" i="22" s="1"/>
  <c r="J6" i="22"/>
  <c r="J7" i="22"/>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5" i="22"/>
  <c r="J91" i="22" s="1"/>
  <c r="AI7" i="10"/>
  <c r="AI8" i="10"/>
  <c r="AI9" i="10"/>
  <c r="AI10" i="10"/>
  <c r="AI11" i="10"/>
  <c r="AI12" i="10"/>
  <c r="AI13" i="10"/>
  <c r="AI14" i="10"/>
  <c r="AI15" i="10"/>
  <c r="AI16" i="10"/>
  <c r="AI17" i="10"/>
  <c r="AI18" i="10"/>
  <c r="AI19" i="10"/>
  <c r="AI20" i="10"/>
  <c r="AI21" i="10"/>
  <c r="AI22" i="10"/>
  <c r="AI23" i="10"/>
  <c r="AI24" i="10"/>
  <c r="AI25" i="10"/>
  <c r="AI26" i="10"/>
  <c r="AI27" i="10"/>
  <c r="AI28" i="10"/>
  <c r="AI29" i="10"/>
  <c r="AI30" i="10"/>
  <c r="AI31" i="10"/>
  <c r="AI32" i="10"/>
  <c r="AI33" i="10"/>
  <c r="AI34" i="10"/>
  <c r="AI35" i="10"/>
  <c r="AI36" i="10"/>
  <c r="AI37" i="10"/>
  <c r="AI38" i="10"/>
  <c r="AI39" i="10"/>
  <c r="AI40" i="10"/>
  <c r="AI41" i="10"/>
  <c r="AI42" i="10"/>
  <c r="AI43" i="10"/>
  <c r="AI44" i="10"/>
  <c r="AI45" i="10"/>
  <c r="AI46" i="10"/>
  <c r="AI47" i="10"/>
  <c r="AI48" i="10"/>
  <c r="AI49" i="10"/>
  <c r="AI50" i="10"/>
  <c r="AI51" i="10"/>
  <c r="AI52" i="10"/>
  <c r="AI53" i="10"/>
  <c r="AI54" i="10"/>
  <c r="AI55" i="10"/>
  <c r="AI56" i="10"/>
  <c r="AI57" i="10"/>
  <c r="AI58" i="10"/>
  <c r="AI59" i="10"/>
  <c r="AI60" i="10"/>
  <c r="AI61" i="10"/>
  <c r="AI62" i="10"/>
  <c r="AI63" i="10"/>
  <c r="AI64" i="10"/>
  <c r="AI65" i="10"/>
  <c r="AI66" i="10"/>
  <c r="AI67" i="10"/>
  <c r="AI68" i="10"/>
  <c r="AI69" i="10"/>
  <c r="AI70" i="10"/>
  <c r="AI71" i="10"/>
  <c r="AI72" i="10"/>
  <c r="AI73" i="10"/>
  <c r="AI74" i="10"/>
  <c r="AI75" i="10"/>
  <c r="AI76" i="10"/>
  <c r="AI77" i="10"/>
  <c r="AI78" i="10"/>
  <c r="AI79" i="10"/>
  <c r="AI80" i="10"/>
  <c r="AI81" i="10"/>
  <c r="AI82" i="10"/>
  <c r="AI83" i="10"/>
  <c r="AI84" i="10"/>
  <c r="AI85" i="10"/>
  <c r="AI86" i="10"/>
  <c r="AI87" i="10"/>
  <c r="AI88" i="10"/>
  <c r="AI89" i="10"/>
  <c r="AI90" i="10"/>
  <c r="AI91" i="10"/>
  <c r="AI6" i="10"/>
  <c r="I90" i="22"/>
  <c r="I89" i="22"/>
  <c r="I88" i="22"/>
  <c r="I87" i="22"/>
  <c r="I86" i="22"/>
  <c r="I85" i="22"/>
  <c r="I84" i="22"/>
  <c r="I83" i="22"/>
  <c r="I82" i="22"/>
  <c r="I81" i="22"/>
  <c r="I80" i="22"/>
  <c r="I79" i="22"/>
  <c r="I78" i="22"/>
  <c r="I77" i="22"/>
  <c r="I76" i="22"/>
  <c r="I75" i="22"/>
  <c r="I74" i="22"/>
  <c r="I73" i="22"/>
  <c r="I72" i="22"/>
  <c r="I71" i="22"/>
  <c r="I70" i="22"/>
  <c r="I69" i="22"/>
  <c r="I68" i="22"/>
  <c r="I67" i="22"/>
  <c r="I66" i="22"/>
  <c r="I65" i="22"/>
  <c r="I64" i="22"/>
  <c r="I63" i="22"/>
  <c r="I62" i="22"/>
  <c r="I61" i="22"/>
  <c r="I60" i="22"/>
  <c r="I59" i="22"/>
  <c r="I58" i="22"/>
  <c r="I57" i="22"/>
  <c r="I56" i="22"/>
  <c r="I55" i="22"/>
  <c r="I54" i="22"/>
  <c r="I53" i="22"/>
  <c r="I52" i="22"/>
  <c r="I51" i="22"/>
  <c r="I50" i="22"/>
  <c r="I49" i="22"/>
  <c r="I48" i="22"/>
  <c r="I47" i="22"/>
  <c r="I46" i="22"/>
  <c r="I45" i="22"/>
  <c r="I44" i="22"/>
  <c r="I43" i="22"/>
  <c r="I42" i="22"/>
  <c r="I41" i="22"/>
  <c r="I40" i="22"/>
  <c r="I39" i="22"/>
  <c r="I38" i="22"/>
  <c r="I37" i="22"/>
  <c r="I36" i="22"/>
  <c r="I35" i="22"/>
  <c r="I34" i="22"/>
  <c r="I33" i="22"/>
  <c r="I32" i="22"/>
  <c r="I31" i="22"/>
  <c r="I30" i="22"/>
  <c r="I29" i="22"/>
  <c r="I28" i="22"/>
  <c r="I27" i="22"/>
  <c r="I26" i="22"/>
  <c r="I25" i="22"/>
  <c r="I24" i="22"/>
  <c r="I23" i="22"/>
  <c r="I22" i="22"/>
  <c r="I21" i="22"/>
  <c r="I20" i="22"/>
  <c r="I19" i="22"/>
  <c r="I18" i="22"/>
  <c r="I17" i="22"/>
  <c r="I16" i="22"/>
  <c r="I15" i="22"/>
  <c r="I14" i="22"/>
  <c r="I13" i="22"/>
  <c r="I12" i="22"/>
  <c r="I11" i="22"/>
  <c r="I10" i="22"/>
  <c r="I9" i="22"/>
  <c r="I8" i="22"/>
  <c r="I7" i="22"/>
  <c r="I6" i="22"/>
  <c r="I5" i="22"/>
  <c r="I91" i="22" s="1"/>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5" i="22"/>
  <c r="H91" i="22" s="1"/>
  <c r="G6" i="22"/>
  <c r="G91" i="22" s="1"/>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4" i="8"/>
  <c r="F31" i="21" l="1"/>
  <c r="E31" i="21"/>
  <c r="G31" i="21"/>
  <c r="E30" i="21"/>
  <c r="F30" i="21"/>
  <c r="G30" i="21"/>
  <c r="H30" i="21" s="1"/>
  <c r="G29" i="21"/>
  <c r="H29" i="21" s="1"/>
  <c r="F29" i="21"/>
  <c r="E29" i="21"/>
  <c r="G28" i="21"/>
  <c r="F28" i="21"/>
  <c r="E28" i="21"/>
  <c r="G27" i="21"/>
  <c r="E27" i="21"/>
  <c r="H27" i="21" s="1"/>
  <c r="F27" i="21"/>
  <c r="F26" i="21"/>
  <c r="E26" i="21"/>
  <c r="G26" i="21"/>
  <c r="G25" i="21"/>
  <c r="E25" i="21"/>
  <c r="F25" i="21"/>
  <c r="H25" i="21" s="1"/>
  <c r="G24" i="21"/>
  <c r="E24" i="21"/>
  <c r="H24" i="21" s="1"/>
  <c r="F24" i="21"/>
  <c r="E23" i="21"/>
  <c r="F23" i="21"/>
  <c r="G23" i="21"/>
  <c r="E22" i="21"/>
  <c r="F22" i="21"/>
  <c r="G22" i="21"/>
  <c r="G21" i="21"/>
  <c r="F21" i="21"/>
  <c r="E21" i="21"/>
  <c r="H21" i="21" s="1"/>
  <c r="G20" i="21"/>
  <c r="F20" i="21"/>
  <c r="E20" i="21"/>
  <c r="E19" i="21"/>
  <c r="G19" i="21"/>
  <c r="F19" i="21"/>
  <c r="F18" i="21"/>
  <c r="E18" i="21"/>
  <c r="G18" i="21"/>
  <c r="G17" i="21"/>
  <c r="E17" i="21"/>
  <c r="F17" i="21"/>
  <c r="E16" i="21"/>
  <c r="F16" i="21"/>
  <c r="G16" i="21"/>
  <c r="F15" i="21"/>
  <c r="G15" i="21"/>
  <c r="E15" i="21"/>
  <c r="G14" i="21"/>
  <c r="E14" i="21"/>
  <c r="H14" i="21" s="1"/>
  <c r="F14" i="21"/>
  <c r="G13" i="21"/>
  <c r="E13" i="21"/>
  <c r="H13" i="21" s="1"/>
  <c r="F13" i="21"/>
  <c r="E12" i="21"/>
  <c r="G12" i="21"/>
  <c r="F12" i="21"/>
  <c r="E11" i="21"/>
  <c r="G11" i="21"/>
  <c r="F11" i="21"/>
  <c r="F10" i="21"/>
  <c r="E10" i="21"/>
  <c r="G10" i="21"/>
  <c r="H31" i="21"/>
  <c r="H15" i="21"/>
  <c r="H20" i="21"/>
  <c r="H28" i="21"/>
  <c r="H17" i="21"/>
  <c r="H22" i="21"/>
  <c r="H16" i="21"/>
  <c r="H26" i="21" l="1"/>
  <c r="H23" i="21"/>
  <c r="H19" i="21"/>
  <c r="H18" i="21"/>
  <c r="H12" i="21"/>
  <c r="H32" i="21" l="1"/>
  <c r="H33" i="21"/>
  <c r="P7" i="15"/>
  <c r="P8" i="15"/>
  <c r="P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54" i="15"/>
  <c r="P55" i="15"/>
  <c r="P56" i="15"/>
  <c r="P57" i="15"/>
  <c r="P58" i="15"/>
  <c r="P59" i="15"/>
  <c r="P60" i="15"/>
  <c r="P61" i="15"/>
  <c r="P62" i="15"/>
  <c r="P63" i="15"/>
  <c r="P64" i="15"/>
  <c r="P65" i="15"/>
  <c r="P66" i="15"/>
  <c r="P67" i="15"/>
  <c r="P68" i="15"/>
  <c r="P69" i="15"/>
  <c r="P70" i="15"/>
  <c r="P71" i="15"/>
  <c r="P72" i="15"/>
  <c r="P73" i="15"/>
  <c r="P74" i="15"/>
  <c r="P75" i="15"/>
  <c r="P76" i="15"/>
  <c r="P77" i="15"/>
  <c r="P78" i="15"/>
  <c r="P79" i="15"/>
  <c r="P80" i="15"/>
  <c r="P81" i="15"/>
  <c r="P82" i="15"/>
  <c r="P83" i="15"/>
  <c r="P84" i="15"/>
  <c r="P85" i="15"/>
  <c r="P86" i="15"/>
  <c r="P87" i="15"/>
  <c r="P88" i="15"/>
  <c r="P89" i="15"/>
  <c r="P90" i="15"/>
  <c r="P91" i="15"/>
  <c r="P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89" i="15"/>
  <c r="N90" i="15"/>
  <c r="N91" i="15"/>
  <c r="N6" i="15"/>
  <c r="L7" i="15"/>
  <c r="L8" i="15"/>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6"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90" i="15"/>
  <c r="J91" i="15"/>
  <c r="J6" i="15"/>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6" i="15"/>
  <c r="O62" i="22" l="1"/>
  <c r="Q63" i="15"/>
  <c r="Q39" i="15"/>
  <c r="O38" i="22"/>
  <c r="Q7" i="15"/>
  <c r="O6" i="22"/>
  <c r="Q70" i="15"/>
  <c r="O69" i="22"/>
  <c r="Q38" i="15"/>
  <c r="O37" i="22"/>
  <c r="Q14" i="15"/>
  <c r="O13" i="22"/>
  <c r="O76" i="22"/>
  <c r="Q77" i="15"/>
  <c r="O52" i="22"/>
  <c r="Q53" i="15"/>
  <c r="O36" i="22"/>
  <c r="Q37" i="15"/>
  <c r="O20" i="22"/>
  <c r="Q21" i="15"/>
  <c r="Q6" i="15"/>
  <c r="O5" i="22"/>
  <c r="Q84" i="15"/>
  <c r="O83" i="22"/>
  <c r="Q76" i="15"/>
  <c r="O75" i="22"/>
  <c r="Q68" i="15"/>
  <c r="O67" i="22"/>
  <c r="Q60" i="15"/>
  <c r="O59" i="22"/>
  <c r="Q52" i="15"/>
  <c r="O51" i="22"/>
  <c r="Q44" i="15"/>
  <c r="O43" i="22"/>
  <c r="Q36" i="15"/>
  <c r="O35" i="22"/>
  <c r="Q28" i="15"/>
  <c r="O27" i="22"/>
  <c r="Q20" i="15"/>
  <c r="O19" i="22"/>
  <c r="Q12" i="15"/>
  <c r="O11" i="22"/>
  <c r="O86" i="22"/>
  <c r="Q87" i="15"/>
  <c r="Q71" i="15"/>
  <c r="O70" i="22"/>
  <c r="O46" i="22"/>
  <c r="Q47" i="15"/>
  <c r="Q23" i="15"/>
  <c r="O22" i="22"/>
  <c r="Q86" i="15"/>
  <c r="O85" i="22"/>
  <c r="Q54" i="15"/>
  <c r="O53" i="22"/>
  <c r="Q30" i="15"/>
  <c r="O29" i="22"/>
  <c r="O68" i="22"/>
  <c r="Q69" i="15"/>
  <c r="Q90" i="15"/>
  <c r="O89" i="22"/>
  <c r="Q82" i="15"/>
  <c r="O81" i="22"/>
  <c r="Q74" i="15"/>
  <c r="O73" i="22"/>
  <c r="Q66" i="15"/>
  <c r="O65" i="22"/>
  <c r="Q58" i="15"/>
  <c r="O57" i="22"/>
  <c r="Q50" i="15"/>
  <c r="O49" i="22"/>
  <c r="Q42" i="15"/>
  <c r="O41" i="22"/>
  <c r="Q34" i="15"/>
  <c r="O33" i="22"/>
  <c r="Q26" i="15"/>
  <c r="O25" i="22"/>
  <c r="O17" i="22"/>
  <c r="Q18" i="15"/>
  <c r="Q10" i="15"/>
  <c r="O9" i="22"/>
  <c r="Q91" i="15"/>
  <c r="O90" i="22"/>
  <c r="Q75" i="15"/>
  <c r="O74" i="22"/>
  <c r="Q59" i="15"/>
  <c r="O58" i="22"/>
  <c r="Q43" i="15"/>
  <c r="O42" i="22"/>
  <c r="Q27" i="15"/>
  <c r="O26" i="22"/>
  <c r="Q11" i="15"/>
  <c r="O10" i="22"/>
  <c r="O88" i="22"/>
  <c r="Q89" i="15"/>
  <c r="O80" i="22"/>
  <c r="Q81" i="15"/>
  <c r="O72" i="22"/>
  <c r="Q73" i="15"/>
  <c r="O64" i="22"/>
  <c r="Q65" i="15"/>
  <c r="O56" i="22"/>
  <c r="Q57" i="15"/>
  <c r="O48" i="22"/>
  <c r="Q49" i="15"/>
  <c r="O40" i="22"/>
  <c r="Q41" i="15"/>
  <c r="O32" i="22"/>
  <c r="Q33" i="15"/>
  <c r="O24" i="22"/>
  <c r="Q25" i="15"/>
  <c r="O16" i="22"/>
  <c r="Q17" i="15"/>
  <c r="O8" i="22"/>
  <c r="Q9" i="15"/>
  <c r="O78" i="22"/>
  <c r="Q79" i="15"/>
  <c r="Q55" i="15"/>
  <c r="O54" i="22"/>
  <c r="O30" i="22"/>
  <c r="Q31" i="15"/>
  <c r="O14" i="22"/>
  <c r="Q15" i="15"/>
  <c r="Q78" i="15"/>
  <c r="O77" i="22"/>
  <c r="Q62" i="15"/>
  <c r="O61" i="22"/>
  <c r="Q46" i="15"/>
  <c r="O45" i="22"/>
  <c r="Q22" i="15"/>
  <c r="O21" i="22"/>
  <c r="O84" i="22"/>
  <c r="Q85" i="15"/>
  <c r="O60" i="22"/>
  <c r="Q61" i="15"/>
  <c r="O44" i="22"/>
  <c r="Q45" i="15"/>
  <c r="O28" i="22"/>
  <c r="Q29" i="15"/>
  <c r="O12" i="22"/>
  <c r="Q13" i="15"/>
  <c r="Q83" i="15"/>
  <c r="O82" i="22"/>
  <c r="Q67" i="15"/>
  <c r="O66" i="22"/>
  <c r="Q51" i="15"/>
  <c r="O50" i="22"/>
  <c r="Q35" i="15"/>
  <c r="O34" i="22"/>
  <c r="Q19" i="15"/>
  <c r="O18" i="22"/>
  <c r="O87" i="22"/>
  <c r="Q88" i="15"/>
  <c r="O79" i="22"/>
  <c r="Q80" i="15"/>
  <c r="O71" i="22"/>
  <c r="Q72" i="15"/>
  <c r="O63" i="22"/>
  <c r="Q64" i="15"/>
  <c r="O55" i="22"/>
  <c r="Q56" i="15"/>
  <c r="O47" i="22"/>
  <c r="Q48" i="15"/>
  <c r="O39" i="22"/>
  <c r="Q40" i="15"/>
  <c r="O31" i="22"/>
  <c r="Q32" i="15"/>
  <c r="O23" i="22"/>
  <c r="Q24" i="15"/>
  <c r="O15" i="22"/>
  <c r="Q16" i="15"/>
  <c r="O7" i="22"/>
  <c r="Q8" i="15"/>
  <c r="Q6" i="12"/>
  <c r="Q7" i="12"/>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85" i="12"/>
  <c r="Q86" i="12"/>
  <c r="Q87" i="12"/>
  <c r="Q88" i="12"/>
  <c r="Q89" i="12"/>
  <c r="Q90" i="12"/>
  <c r="Q5" i="12"/>
  <c r="O91" i="22" l="1"/>
  <c r="C30" i="6"/>
  <c r="C31" i="6"/>
  <c r="C32" i="6"/>
  <c r="C33" i="6"/>
  <c r="C34" i="6"/>
  <c r="C35" i="6"/>
  <c r="C36" i="6"/>
  <c r="C37" i="6"/>
  <c r="C38" i="6"/>
  <c r="C39" i="6"/>
  <c r="C40" i="6"/>
  <c r="C41" i="6"/>
  <c r="C42" i="6"/>
  <c r="C43" i="6"/>
  <c r="C44" i="6"/>
  <c r="C45" i="6"/>
  <c r="C46" i="6"/>
  <c r="C47" i="6"/>
  <c r="C48" i="6"/>
  <c r="C49" i="6"/>
  <c r="C50" i="6"/>
  <c r="C51" i="6"/>
  <c r="C52" i="6"/>
  <c r="C53" i="6"/>
  <c r="C54" i="6"/>
  <c r="C29" i="6"/>
  <c r="C17" i="6"/>
  <c r="K8" i="4"/>
  <c r="K7" i="4"/>
  <c r="K6" i="4"/>
  <c r="K5" i="4"/>
  <c r="K4" i="4"/>
  <c r="K3" i="4"/>
  <c r="K2" i="4"/>
  <c r="Z12" i="21" l="1"/>
  <c r="Z26" i="21"/>
  <c r="Z29" i="21"/>
  <c r="Z19" i="21"/>
  <c r="Z20" i="21"/>
  <c r="Z18" i="21"/>
  <c r="Z13" i="21"/>
  <c r="Z16" i="21"/>
  <c r="Z28" i="21"/>
  <c r="Z27" i="21"/>
  <c r="Z31" i="21"/>
  <c r="Z17" i="21"/>
  <c r="Z25" i="21"/>
  <c r="Z22" i="21"/>
  <c r="Z23" i="21"/>
  <c r="Z30" i="21"/>
  <c r="Z21" i="21"/>
  <c r="Z15" i="21"/>
  <c r="Z14" i="21"/>
  <c r="Z24" i="21"/>
  <c r="AC19" i="21"/>
  <c r="AC16" i="21"/>
  <c r="AC18" i="21"/>
  <c r="AC13" i="21"/>
  <c r="AC30" i="21"/>
  <c r="AC24" i="21"/>
  <c r="AC21" i="21"/>
  <c r="AC12" i="21"/>
  <c r="AC28" i="21"/>
  <c r="AC31" i="21"/>
  <c r="AC29" i="21"/>
  <c r="AC22" i="21"/>
  <c r="AC14" i="21"/>
  <c r="AC27" i="21"/>
  <c r="AC15" i="21"/>
  <c r="AC23" i="21"/>
  <c r="AC25" i="21"/>
  <c r="AC17" i="21"/>
  <c r="AC26" i="21"/>
  <c r="AC20" i="21"/>
  <c r="AC32" i="21" l="1"/>
  <c r="AC33" i="21"/>
  <c r="Z32" i="21"/>
  <c r="Z33" i="21"/>
  <c r="L8" i="4" l="1"/>
  <c r="L7" i="4"/>
  <c r="L6" i="4"/>
  <c r="L5" i="4"/>
  <c r="L4" i="4"/>
  <c r="L3" i="4"/>
  <c r="L2" i="4"/>
  <c r="N10" i="4"/>
  <c r="N11" i="4"/>
  <c r="N12" i="4"/>
  <c r="N13" i="4"/>
  <c r="N14" i="4"/>
  <c r="N15" i="4"/>
  <c r="N16" i="4"/>
  <c r="N17" i="4"/>
  <c r="N18" i="4"/>
  <c r="N19" i="4"/>
  <c r="N20" i="4"/>
  <c r="N21" i="4"/>
  <c r="N22" i="4"/>
  <c r="N23" i="4"/>
  <c r="N24" i="4"/>
  <c r="N25" i="4"/>
  <c r="N26" i="4"/>
  <c r="N27" i="4"/>
  <c r="N28" i="4"/>
  <c r="N9" i="4"/>
  <c r="N8" i="4"/>
  <c r="N7" i="4"/>
  <c r="N6" i="4"/>
  <c r="N5" i="4"/>
  <c r="N4" i="4"/>
  <c r="N3" i="4"/>
  <c r="N2" i="4"/>
  <c r="M8" i="11"/>
  <c r="I6" i="4" s="1"/>
  <c r="M9" i="11"/>
  <c r="I7" i="4" s="1"/>
  <c r="M10" i="11"/>
  <c r="I8" i="4" s="1"/>
  <c r="M4" i="11"/>
  <c r="I2" i="4" s="1"/>
  <c r="M5" i="11"/>
  <c r="I3" i="4" s="1"/>
  <c r="M6" i="11"/>
  <c r="I4" i="4" s="1"/>
  <c r="M7" i="11"/>
  <c r="I5" i="4" s="1"/>
  <c r="AL7" i="10"/>
  <c r="AL8" i="10"/>
  <c r="AL9" i="10"/>
  <c r="AL10" i="10"/>
  <c r="AL11" i="10"/>
  <c r="AL12" i="10"/>
  <c r="AL13" i="10"/>
  <c r="AL14" i="10"/>
  <c r="AL15" i="10"/>
  <c r="AL16" i="10"/>
  <c r="AL17" i="10"/>
  <c r="AL18" i="10"/>
  <c r="AL19" i="10"/>
  <c r="AL20" i="10"/>
  <c r="AL21" i="10"/>
  <c r="AL22" i="10"/>
  <c r="AL23" i="10"/>
  <c r="AL24" i="10"/>
  <c r="AL25" i="10"/>
  <c r="AL26" i="10"/>
  <c r="AL27" i="10"/>
  <c r="AL28" i="10"/>
  <c r="AL29" i="10"/>
  <c r="AL30" i="10"/>
  <c r="AL31" i="10"/>
  <c r="AL32" i="10"/>
  <c r="AL33" i="10"/>
  <c r="AL34" i="10"/>
  <c r="AL35" i="10"/>
  <c r="AL36" i="10"/>
  <c r="AL37" i="10"/>
  <c r="AL38" i="10"/>
  <c r="AL39" i="10"/>
  <c r="AL40" i="10"/>
  <c r="AL41" i="10"/>
  <c r="AL42" i="10"/>
  <c r="AL43" i="10"/>
  <c r="AL44" i="10"/>
  <c r="AL45" i="10"/>
  <c r="AL46" i="10"/>
  <c r="AL47" i="10"/>
  <c r="AL48" i="10"/>
  <c r="AL49" i="10"/>
  <c r="AL50" i="10"/>
  <c r="AL51" i="10"/>
  <c r="AL52" i="10"/>
  <c r="AL53" i="10"/>
  <c r="AL54" i="10"/>
  <c r="AL55" i="10"/>
  <c r="AL56" i="10"/>
  <c r="AL57" i="10"/>
  <c r="AL58" i="10"/>
  <c r="AL59" i="10"/>
  <c r="AL60" i="10"/>
  <c r="AL61" i="10"/>
  <c r="AL62" i="10"/>
  <c r="AL63" i="10"/>
  <c r="AL64" i="10"/>
  <c r="AL65" i="10"/>
  <c r="AL66" i="10"/>
  <c r="AL67" i="10"/>
  <c r="AL68" i="10"/>
  <c r="AL69" i="10"/>
  <c r="AL70" i="10"/>
  <c r="AL71" i="10"/>
  <c r="AL72" i="10"/>
  <c r="AL73" i="10"/>
  <c r="AL74" i="10"/>
  <c r="AL75" i="10"/>
  <c r="AL76" i="10"/>
  <c r="AL77" i="10"/>
  <c r="AL78" i="10"/>
  <c r="AL79" i="10"/>
  <c r="AL80" i="10"/>
  <c r="AL81" i="10"/>
  <c r="AL82" i="10"/>
  <c r="AL83" i="10"/>
  <c r="AL84" i="10"/>
  <c r="AL85" i="10"/>
  <c r="AL86" i="10"/>
  <c r="AL87" i="10"/>
  <c r="AL88" i="10"/>
  <c r="AL89" i="10"/>
  <c r="AL90" i="10"/>
  <c r="AL91" i="10"/>
  <c r="AL6" i="10"/>
  <c r="AK7" i="10"/>
  <c r="AK8" i="10"/>
  <c r="AK9" i="10"/>
  <c r="AK10" i="10"/>
  <c r="AK11" i="10"/>
  <c r="AK12" i="10"/>
  <c r="AK13" i="10"/>
  <c r="AK14" i="10"/>
  <c r="AK15" i="10"/>
  <c r="AK16" i="10"/>
  <c r="AK17" i="10"/>
  <c r="AK18" i="10"/>
  <c r="AK19" i="10"/>
  <c r="AK20" i="10"/>
  <c r="AK21" i="10"/>
  <c r="AK22" i="10"/>
  <c r="AK23" i="10"/>
  <c r="AK24" i="10"/>
  <c r="AK25" i="10"/>
  <c r="AK26" i="10"/>
  <c r="AK27" i="10"/>
  <c r="AK28" i="10"/>
  <c r="AK29" i="10"/>
  <c r="AK30" i="10"/>
  <c r="AK31" i="10"/>
  <c r="AK32" i="10"/>
  <c r="AK33" i="10"/>
  <c r="AK34" i="10"/>
  <c r="AK35" i="10"/>
  <c r="AK36" i="10"/>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K66" i="10"/>
  <c r="AK67" i="10"/>
  <c r="AK68" i="10"/>
  <c r="AK69" i="10"/>
  <c r="AK70" i="10"/>
  <c r="AK71" i="10"/>
  <c r="AK72" i="10"/>
  <c r="AK73" i="10"/>
  <c r="AK74" i="10"/>
  <c r="AK75" i="10"/>
  <c r="AK76" i="10"/>
  <c r="AK77" i="10"/>
  <c r="AK78" i="10"/>
  <c r="AK79" i="10"/>
  <c r="AK80" i="10"/>
  <c r="AK81" i="10"/>
  <c r="AK82" i="10"/>
  <c r="AK83" i="10"/>
  <c r="AK84" i="10"/>
  <c r="AK85" i="10"/>
  <c r="AK86" i="10"/>
  <c r="AK87" i="10"/>
  <c r="AK88" i="10"/>
  <c r="AK89" i="10"/>
  <c r="AK90" i="10"/>
  <c r="AK91" i="10"/>
  <c r="AJ7" i="10"/>
  <c r="AJ8" i="10"/>
  <c r="AJ9" i="10"/>
  <c r="AJ10" i="10"/>
  <c r="AJ11" i="10"/>
  <c r="AJ12" i="10"/>
  <c r="AJ13" i="10"/>
  <c r="AJ14" i="10"/>
  <c r="AJ15" i="10"/>
  <c r="AJ16" i="10"/>
  <c r="AJ17" i="10"/>
  <c r="AJ18" i="10"/>
  <c r="AJ19" i="10"/>
  <c r="AJ20" i="10"/>
  <c r="AJ21" i="10"/>
  <c r="AJ22" i="10"/>
  <c r="AJ23" i="10"/>
  <c r="AJ24" i="10"/>
  <c r="AJ25" i="10"/>
  <c r="AJ26" i="10"/>
  <c r="AJ27" i="10"/>
  <c r="AJ28" i="10"/>
  <c r="AJ29" i="10"/>
  <c r="AJ30" i="10"/>
  <c r="AJ31" i="10"/>
  <c r="AJ32" i="10"/>
  <c r="AJ33" i="10"/>
  <c r="AJ34" i="10"/>
  <c r="AJ35" i="10"/>
  <c r="AJ36" i="10"/>
  <c r="AJ37" i="10"/>
  <c r="AJ38" i="10"/>
  <c r="AJ39" i="10"/>
  <c r="AJ40" i="10"/>
  <c r="AJ41" i="10"/>
  <c r="AJ42" i="10"/>
  <c r="AJ43" i="10"/>
  <c r="AJ44" i="10"/>
  <c r="AJ45" i="10"/>
  <c r="AJ46" i="10"/>
  <c r="AJ47" i="10"/>
  <c r="AJ48" i="10"/>
  <c r="AJ49" i="10"/>
  <c r="AJ50" i="10"/>
  <c r="AJ51" i="10"/>
  <c r="AJ52" i="10"/>
  <c r="AJ53" i="10"/>
  <c r="AJ54" i="10"/>
  <c r="AJ55" i="10"/>
  <c r="AJ56" i="10"/>
  <c r="AJ57" i="10"/>
  <c r="AJ58" i="10"/>
  <c r="AJ59" i="10"/>
  <c r="AJ60" i="10"/>
  <c r="AJ61" i="10"/>
  <c r="AJ62" i="10"/>
  <c r="AJ63" i="10"/>
  <c r="AJ64" i="10"/>
  <c r="AJ65" i="10"/>
  <c r="AJ66" i="10"/>
  <c r="AJ67" i="10"/>
  <c r="AJ68" i="10"/>
  <c r="AJ69" i="10"/>
  <c r="AJ70" i="10"/>
  <c r="AJ71" i="10"/>
  <c r="AJ72" i="10"/>
  <c r="AJ73" i="10"/>
  <c r="AJ74" i="10"/>
  <c r="AJ75" i="10"/>
  <c r="AJ76" i="10"/>
  <c r="AJ77" i="10"/>
  <c r="AJ78" i="10"/>
  <c r="AJ79" i="10"/>
  <c r="AJ80" i="10"/>
  <c r="AJ81" i="10"/>
  <c r="AJ82" i="10"/>
  <c r="AJ83" i="10"/>
  <c r="AJ84" i="10"/>
  <c r="AJ85" i="10"/>
  <c r="AJ86" i="10"/>
  <c r="AJ87" i="10"/>
  <c r="AJ88" i="10"/>
  <c r="AJ89" i="10"/>
  <c r="AJ90" i="10"/>
  <c r="AJ91" i="10"/>
  <c r="AJ6" i="10"/>
  <c r="D3" i="4"/>
  <c r="D6" i="4"/>
  <c r="Q4" i="4" l="1"/>
  <c r="Q2" i="4"/>
  <c r="Q6" i="4"/>
  <c r="Q5" i="4"/>
  <c r="Q8" i="4"/>
  <c r="Q3" i="4"/>
  <c r="Q7" i="4"/>
  <c r="N29" i="4"/>
  <c r="I11" i="11"/>
  <c r="D11" i="17"/>
  <c r="K9" i="4" s="1"/>
  <c r="L9" i="4" s="1"/>
  <c r="D29" i="4"/>
  <c r="M6" i="14"/>
  <c r="G2" i="4" s="1"/>
  <c r="M7" i="14"/>
  <c r="G3" i="4" s="1"/>
  <c r="BQ41" i="3"/>
  <c r="BP41" i="3"/>
  <c r="BQ38" i="3"/>
  <c r="BP38" i="3"/>
  <c r="BQ35" i="3"/>
  <c r="BP35" i="3"/>
  <c r="BQ32" i="3"/>
  <c r="BP32" i="3"/>
  <c r="BQ29" i="3"/>
  <c r="BP29" i="3"/>
  <c r="BF41" i="3"/>
  <c r="BE41" i="3"/>
  <c r="BF38" i="3"/>
  <c r="BE38" i="3"/>
  <c r="BF35" i="3"/>
  <c r="BE35" i="3"/>
  <c r="BF32" i="3"/>
  <c r="BE32" i="3"/>
  <c r="BF29" i="3"/>
  <c r="BE29" i="3"/>
  <c r="AU41" i="3"/>
  <c r="AT41" i="3"/>
  <c r="AU38" i="3"/>
  <c r="AT38" i="3"/>
  <c r="AU35" i="3"/>
  <c r="AT35" i="3"/>
  <c r="AU32" i="3"/>
  <c r="AT32" i="3"/>
  <c r="AU29" i="3"/>
  <c r="AT29" i="3"/>
  <c r="AJ41" i="3"/>
  <c r="AI41" i="3"/>
  <c r="AJ38" i="3"/>
  <c r="AI38" i="3"/>
  <c r="AJ35" i="3"/>
  <c r="AI35" i="3"/>
  <c r="AJ32" i="3"/>
  <c r="AI32" i="3"/>
  <c r="AJ29" i="3"/>
  <c r="AI29" i="3"/>
  <c r="Y41" i="3"/>
  <c r="X41" i="3"/>
  <c r="Y38" i="3"/>
  <c r="X38" i="3"/>
  <c r="Y35" i="3"/>
  <c r="X35" i="3"/>
  <c r="Y32" i="3"/>
  <c r="X32" i="3"/>
  <c r="Y29" i="3"/>
  <c r="X29" i="3"/>
  <c r="BP26" i="3"/>
  <c r="BO26" i="3"/>
  <c r="BP23" i="3"/>
  <c r="BO23" i="3"/>
  <c r="BP20" i="3"/>
  <c r="BO20" i="3"/>
  <c r="BP16" i="3"/>
  <c r="BO16" i="3"/>
  <c r="BP14" i="3"/>
  <c r="BO14" i="3"/>
  <c r="BE26" i="3"/>
  <c r="BD26" i="3"/>
  <c r="BE23" i="3"/>
  <c r="BD23" i="3"/>
  <c r="BE20" i="3"/>
  <c r="BD20" i="3"/>
  <c r="BE16" i="3"/>
  <c r="BD16" i="3"/>
  <c r="BE14" i="3"/>
  <c r="BD14" i="3"/>
  <c r="AT26" i="3"/>
  <c r="AS26" i="3"/>
  <c r="AT23" i="3"/>
  <c r="AS23" i="3"/>
  <c r="AT20" i="3"/>
  <c r="AS20" i="3"/>
  <c r="AT16" i="3"/>
  <c r="AS16" i="3"/>
  <c r="AT14" i="3"/>
  <c r="AS14" i="3"/>
  <c r="AI26" i="3"/>
  <c r="AH26" i="3"/>
  <c r="AI23" i="3"/>
  <c r="AH23" i="3"/>
  <c r="AI20" i="3"/>
  <c r="AH20" i="3"/>
  <c r="AI16" i="3"/>
  <c r="AH16" i="3"/>
  <c r="AI14" i="3"/>
  <c r="AH14" i="3"/>
  <c r="X26" i="3"/>
  <c r="W26" i="3"/>
  <c r="X23" i="3"/>
  <c r="W23" i="3"/>
  <c r="X20" i="3"/>
  <c r="W20" i="3"/>
  <c r="X16" i="3"/>
  <c r="W16" i="3"/>
  <c r="X14" i="3"/>
  <c r="W14" i="3"/>
  <c r="BO41" i="3"/>
  <c r="BO38" i="3"/>
  <c r="BO37" i="3"/>
  <c r="BO36" i="3"/>
  <c r="BO35" i="3"/>
  <c r="BO34" i="3"/>
  <c r="BO33" i="3"/>
  <c r="BO32" i="3"/>
  <c r="BO31" i="3"/>
  <c r="BO30" i="3"/>
  <c r="BO29" i="3"/>
  <c r="BD41" i="3"/>
  <c r="BD38" i="3"/>
  <c r="BD37" i="3"/>
  <c r="BD36" i="3"/>
  <c r="BD35" i="3"/>
  <c r="BD34" i="3"/>
  <c r="BD33" i="3"/>
  <c r="BD32" i="3"/>
  <c r="BD31" i="3"/>
  <c r="BD30" i="3"/>
  <c r="BD29" i="3"/>
  <c r="AS41" i="3"/>
  <c r="AS38" i="3"/>
  <c r="AS37" i="3"/>
  <c r="AS36" i="3"/>
  <c r="AS35" i="3"/>
  <c r="AS34" i="3"/>
  <c r="AS33" i="3"/>
  <c r="AS32" i="3"/>
  <c r="AS31" i="3"/>
  <c r="AS30" i="3"/>
  <c r="AS29" i="3"/>
  <c r="AH41" i="3"/>
  <c r="AH38" i="3"/>
  <c r="AH37" i="3"/>
  <c r="AH36" i="3"/>
  <c r="AH35" i="3"/>
  <c r="AH34" i="3"/>
  <c r="AH33" i="3"/>
  <c r="AH32" i="3"/>
  <c r="AH31" i="3"/>
  <c r="AH30" i="3"/>
  <c r="AH29" i="3"/>
  <c r="W41" i="3"/>
  <c r="W38" i="3"/>
  <c r="W37" i="3"/>
  <c r="W36" i="3"/>
  <c r="W35" i="3"/>
  <c r="W34" i="3"/>
  <c r="W33" i="3"/>
  <c r="W32" i="3"/>
  <c r="W31" i="3"/>
  <c r="W30" i="3"/>
  <c r="W29" i="3"/>
  <c r="BN26" i="3"/>
  <c r="BN23" i="3"/>
  <c r="BN22" i="3"/>
  <c r="BN21" i="3"/>
  <c r="BN20" i="3"/>
  <c r="BN19" i="3"/>
  <c r="BN18" i="3"/>
  <c r="BN17" i="3"/>
  <c r="BN16" i="3"/>
  <c r="BN15" i="3"/>
  <c r="BN14" i="3"/>
  <c r="BC26" i="3"/>
  <c r="BC23" i="3"/>
  <c r="BC22" i="3"/>
  <c r="BC21" i="3"/>
  <c r="BC20" i="3"/>
  <c r="BC19" i="3"/>
  <c r="BC18" i="3"/>
  <c r="BC17" i="3"/>
  <c r="BC16" i="3"/>
  <c r="BC15" i="3"/>
  <c r="BC14" i="3"/>
  <c r="AR26" i="3"/>
  <c r="AR23" i="3"/>
  <c r="AR22" i="3"/>
  <c r="AR21" i="3"/>
  <c r="AR20" i="3"/>
  <c r="AR19" i="3"/>
  <c r="AR18" i="3"/>
  <c r="AR17" i="3"/>
  <c r="AR16" i="3"/>
  <c r="AR15" i="3"/>
  <c r="AR14" i="3"/>
  <c r="AG26" i="3"/>
  <c r="AG23" i="3"/>
  <c r="AG22" i="3"/>
  <c r="AG21" i="3"/>
  <c r="AG20" i="3"/>
  <c r="AG19" i="3"/>
  <c r="AG18" i="3"/>
  <c r="AG17" i="3"/>
  <c r="AG16" i="3"/>
  <c r="AG15" i="3"/>
  <c r="AG14" i="3"/>
  <c r="V26" i="3"/>
  <c r="V23" i="3"/>
  <c r="V22" i="3"/>
  <c r="V21" i="3"/>
  <c r="V20" i="3"/>
  <c r="V19" i="3"/>
  <c r="V18" i="3"/>
  <c r="V17" i="3"/>
  <c r="V16" i="3"/>
  <c r="V15" i="3"/>
  <c r="V14" i="3"/>
  <c r="AR38" i="3"/>
  <c r="AR39" i="3"/>
  <c r="AR40" i="3"/>
  <c r="AR41" i="3"/>
  <c r="BL12" i="3"/>
  <c r="BA12" i="3"/>
  <c r="AP12" i="3"/>
  <c r="AE12" i="3"/>
  <c r="T12" i="3"/>
  <c r="BK8" i="3"/>
  <c r="AZ8" i="3"/>
  <c r="AO8" i="3"/>
  <c r="AD8" i="3"/>
  <c r="S8" i="3"/>
  <c r="BN43" i="3"/>
  <c r="BN42" i="3"/>
  <c r="BN41" i="3"/>
  <c r="BN40" i="3"/>
  <c r="BN39" i="3"/>
  <c r="BN38" i="3"/>
  <c r="BN37" i="3"/>
  <c r="BN36" i="3"/>
  <c r="BN35" i="3"/>
  <c r="BN34" i="3"/>
  <c r="BN33" i="3"/>
  <c r="BN32" i="3"/>
  <c r="BN31" i="3"/>
  <c r="BN30" i="3"/>
  <c r="BN29" i="3"/>
  <c r="BC43" i="3"/>
  <c r="BC42" i="3"/>
  <c r="BC41" i="3"/>
  <c r="BC40" i="3"/>
  <c r="BC39" i="3"/>
  <c r="BC38" i="3"/>
  <c r="BC37" i="3"/>
  <c r="BC36" i="3"/>
  <c r="BC35" i="3"/>
  <c r="BC34" i="3"/>
  <c r="BC33" i="3"/>
  <c r="BC32" i="3"/>
  <c r="BC31" i="3"/>
  <c r="BC30" i="3"/>
  <c r="BC29" i="3"/>
  <c r="AR43" i="3"/>
  <c r="AR42" i="3"/>
  <c r="AR37" i="3"/>
  <c r="AR36" i="3"/>
  <c r="AR35" i="3"/>
  <c r="AR34" i="3"/>
  <c r="AR33" i="3"/>
  <c r="AR32" i="3"/>
  <c r="AR31" i="3"/>
  <c r="AR30" i="3"/>
  <c r="AR29" i="3"/>
  <c r="AG43" i="3"/>
  <c r="AG42" i="3"/>
  <c r="AG41" i="3"/>
  <c r="AG40" i="3"/>
  <c r="AG39" i="3"/>
  <c r="AG38" i="3"/>
  <c r="AG37" i="3"/>
  <c r="AG36" i="3"/>
  <c r="AG35" i="3"/>
  <c r="AG34" i="3"/>
  <c r="AG33" i="3"/>
  <c r="AG32" i="3"/>
  <c r="AG31" i="3"/>
  <c r="AG30" i="3"/>
  <c r="AG29" i="3"/>
  <c r="V43" i="3"/>
  <c r="V42" i="3"/>
  <c r="V41" i="3"/>
  <c r="V40" i="3"/>
  <c r="V39" i="3"/>
  <c r="V38" i="3"/>
  <c r="V37" i="3"/>
  <c r="V36" i="3"/>
  <c r="V35" i="3"/>
  <c r="V34" i="3"/>
  <c r="V33" i="3"/>
  <c r="V32" i="3"/>
  <c r="V31" i="3"/>
  <c r="V30" i="3"/>
  <c r="V29" i="3"/>
  <c r="BK13" i="3"/>
  <c r="BK12" i="3"/>
  <c r="BK11" i="3"/>
  <c r="BK10" i="3"/>
  <c r="AZ13" i="3"/>
  <c r="AZ12" i="3"/>
  <c r="AZ11" i="3"/>
  <c r="AZ10" i="3"/>
  <c r="AO13" i="3"/>
  <c r="AO12" i="3"/>
  <c r="AO11" i="3"/>
  <c r="AO10" i="3"/>
  <c r="AD13" i="3"/>
  <c r="AD12" i="3"/>
  <c r="AD11" i="3"/>
  <c r="AD10" i="3"/>
  <c r="S13" i="3"/>
  <c r="S12" i="3"/>
  <c r="S11" i="3"/>
  <c r="S10" i="3"/>
  <c r="BM43" i="3"/>
  <c r="BM42" i="3"/>
  <c r="BM41" i="3"/>
  <c r="BM40" i="3"/>
  <c r="BM39" i="3"/>
  <c r="BM38" i="3"/>
  <c r="BM37" i="3"/>
  <c r="BM36" i="3"/>
  <c r="BM35" i="3"/>
  <c r="BM34" i="3"/>
  <c r="BM33" i="3"/>
  <c r="BM32" i="3"/>
  <c r="BM31" i="3"/>
  <c r="BM30" i="3"/>
  <c r="BM29" i="3"/>
  <c r="BM28" i="3"/>
  <c r="BM27" i="3"/>
  <c r="BM26" i="3"/>
  <c r="BM25" i="3"/>
  <c r="BM24" i="3"/>
  <c r="BM23" i="3"/>
  <c r="BM22" i="3"/>
  <c r="BM21" i="3"/>
  <c r="BM20" i="3"/>
  <c r="BM19" i="3"/>
  <c r="BM18" i="3"/>
  <c r="BM17" i="3"/>
  <c r="BM16" i="3"/>
  <c r="BM15" i="3"/>
  <c r="BM14" i="3"/>
  <c r="BB43" i="3"/>
  <c r="BB42" i="3"/>
  <c r="BB41" i="3"/>
  <c r="BB40" i="3"/>
  <c r="BB39" i="3"/>
  <c r="BB38" i="3"/>
  <c r="BB37" i="3"/>
  <c r="BB36" i="3"/>
  <c r="BB35" i="3"/>
  <c r="BB34" i="3"/>
  <c r="BB33" i="3"/>
  <c r="BB32" i="3"/>
  <c r="BB31" i="3"/>
  <c r="BB30" i="3"/>
  <c r="BB29" i="3"/>
  <c r="BB28" i="3"/>
  <c r="BB27" i="3"/>
  <c r="BB26" i="3"/>
  <c r="BB25" i="3"/>
  <c r="BB24" i="3"/>
  <c r="BB23" i="3"/>
  <c r="BB22" i="3"/>
  <c r="BB21" i="3"/>
  <c r="BB20" i="3"/>
  <c r="BB19" i="3"/>
  <c r="BB18" i="3"/>
  <c r="BB17" i="3"/>
  <c r="BB16" i="3"/>
  <c r="BB15" i="3"/>
  <c r="BB14" i="3"/>
  <c r="AQ43" i="3"/>
  <c r="AQ42" i="3"/>
  <c r="AQ41" i="3"/>
  <c r="AQ40" i="3"/>
  <c r="AQ39" i="3"/>
  <c r="AQ38" i="3"/>
  <c r="AQ37" i="3"/>
  <c r="AQ36" i="3"/>
  <c r="AQ35" i="3"/>
  <c r="AQ34" i="3"/>
  <c r="AQ33" i="3"/>
  <c r="AQ32" i="3"/>
  <c r="AQ31" i="3"/>
  <c r="AQ30" i="3"/>
  <c r="AQ29" i="3"/>
  <c r="AQ28" i="3"/>
  <c r="AQ27" i="3"/>
  <c r="AQ26" i="3"/>
  <c r="AQ25" i="3"/>
  <c r="AQ24" i="3"/>
  <c r="AQ23" i="3"/>
  <c r="AQ22" i="3"/>
  <c r="AQ21" i="3"/>
  <c r="AQ20" i="3"/>
  <c r="AQ19" i="3"/>
  <c r="AQ18" i="3"/>
  <c r="AQ17" i="3"/>
  <c r="AQ16" i="3"/>
  <c r="AQ15" i="3"/>
  <c r="AQ1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BL43" i="3"/>
  <c r="BL42" i="3"/>
  <c r="BL41" i="3"/>
  <c r="BL40" i="3"/>
  <c r="BL39" i="3"/>
  <c r="BL38" i="3"/>
  <c r="BL37" i="3"/>
  <c r="BL36" i="3"/>
  <c r="BL35" i="3"/>
  <c r="BL34" i="3"/>
  <c r="BL33" i="3"/>
  <c r="BL32" i="3"/>
  <c r="BL31" i="3"/>
  <c r="BL30" i="3"/>
  <c r="BL29" i="3"/>
  <c r="BL28" i="3"/>
  <c r="BL27" i="3"/>
  <c r="BL26" i="3"/>
  <c r="BL25" i="3"/>
  <c r="BL24" i="3"/>
  <c r="BL23" i="3"/>
  <c r="BL22" i="3"/>
  <c r="BL21" i="3"/>
  <c r="BL20" i="3"/>
  <c r="BL19" i="3"/>
  <c r="BL18" i="3"/>
  <c r="BL17" i="3"/>
  <c r="BL16" i="3"/>
  <c r="BL15" i="3"/>
  <c r="BL14" i="3"/>
  <c r="BA43" i="3"/>
  <c r="BA42" i="3"/>
  <c r="BA41" i="3"/>
  <c r="BA40" i="3"/>
  <c r="BA39" i="3"/>
  <c r="BA38" i="3"/>
  <c r="BA37" i="3"/>
  <c r="BA36" i="3"/>
  <c r="BA35" i="3"/>
  <c r="BA34" i="3"/>
  <c r="BA33" i="3"/>
  <c r="BA32" i="3"/>
  <c r="BA31" i="3"/>
  <c r="BA30" i="3"/>
  <c r="BA29" i="3"/>
  <c r="BA28" i="3"/>
  <c r="BA27" i="3"/>
  <c r="BA26" i="3"/>
  <c r="BA25" i="3"/>
  <c r="BA24" i="3"/>
  <c r="BA23" i="3"/>
  <c r="BA22" i="3"/>
  <c r="BA21" i="3"/>
  <c r="BA20" i="3"/>
  <c r="BA19" i="3"/>
  <c r="BA18" i="3"/>
  <c r="BA17" i="3"/>
  <c r="BA16" i="3"/>
  <c r="BA15" i="3"/>
  <c r="BA1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BK43" i="3"/>
  <c r="BK42" i="3"/>
  <c r="BK41" i="3"/>
  <c r="BK40" i="3"/>
  <c r="BK39" i="3"/>
  <c r="BK38" i="3"/>
  <c r="BK37" i="3"/>
  <c r="BK36" i="3"/>
  <c r="BK35" i="3"/>
  <c r="BK34" i="3"/>
  <c r="BK33" i="3"/>
  <c r="BK32" i="3"/>
  <c r="BK31" i="3"/>
  <c r="BK30" i="3"/>
  <c r="BK29" i="3"/>
  <c r="BK28" i="3"/>
  <c r="BK27" i="3"/>
  <c r="BK26" i="3"/>
  <c r="BK25" i="3"/>
  <c r="BK24" i="3"/>
  <c r="BK23" i="3"/>
  <c r="BK22" i="3"/>
  <c r="BK21" i="3"/>
  <c r="BK20" i="3"/>
  <c r="BK19" i="3"/>
  <c r="BK18" i="3"/>
  <c r="BK17" i="3"/>
  <c r="BK16" i="3"/>
  <c r="BK15" i="3"/>
  <c r="BK14" i="3"/>
  <c r="AZ43" i="3"/>
  <c r="AZ42" i="3"/>
  <c r="AZ41" i="3"/>
  <c r="AZ40" i="3"/>
  <c r="AZ39" i="3"/>
  <c r="AZ38" i="3"/>
  <c r="AZ37" i="3"/>
  <c r="AZ36" i="3"/>
  <c r="AZ35" i="3"/>
  <c r="AZ34" i="3"/>
  <c r="AZ33" i="3"/>
  <c r="AZ32" i="3"/>
  <c r="AZ31" i="3"/>
  <c r="AZ30" i="3"/>
  <c r="AZ29" i="3"/>
  <c r="AZ28" i="3"/>
  <c r="AZ27" i="3"/>
  <c r="AZ26" i="3"/>
  <c r="AZ25" i="3"/>
  <c r="AZ24" i="3"/>
  <c r="AZ23" i="3"/>
  <c r="AZ22" i="3"/>
  <c r="AZ21" i="3"/>
  <c r="AZ20" i="3"/>
  <c r="AZ19" i="3"/>
  <c r="AZ18" i="3"/>
  <c r="AZ17" i="3"/>
  <c r="AZ16" i="3"/>
  <c r="AZ15" i="3"/>
  <c r="AZ14" i="3"/>
  <c r="AO43" i="3"/>
  <c r="AO42" i="3"/>
  <c r="AO41" i="3"/>
  <c r="AO40" i="3"/>
  <c r="AO39" i="3"/>
  <c r="AO38" i="3"/>
  <c r="AO37" i="3"/>
  <c r="AO36" i="3"/>
  <c r="AO35" i="3"/>
  <c r="AO34" i="3"/>
  <c r="AO33" i="3"/>
  <c r="AO32" i="3"/>
  <c r="AO31" i="3"/>
  <c r="AO30" i="3"/>
  <c r="AO29" i="3"/>
  <c r="AO28" i="3"/>
  <c r="AO27" i="3"/>
  <c r="AO26" i="3"/>
  <c r="AO25" i="3"/>
  <c r="AO24" i="3"/>
  <c r="AO23" i="3"/>
  <c r="AO22" i="3"/>
  <c r="AO21" i="3"/>
  <c r="AO20" i="3"/>
  <c r="AO19" i="3"/>
  <c r="AO18" i="3"/>
  <c r="AO17" i="3"/>
  <c r="AO15" i="3"/>
  <c r="AO1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S43" i="3"/>
  <c r="S42" i="3"/>
  <c r="S41" i="3"/>
  <c r="S40" i="3"/>
  <c r="S39" i="3"/>
  <c r="S38" i="3"/>
  <c r="S37" i="3"/>
  <c r="S36" i="3"/>
  <c r="S35" i="3"/>
  <c r="S34" i="3"/>
  <c r="S33" i="3"/>
  <c r="S32" i="3"/>
  <c r="S31" i="3"/>
  <c r="S30" i="3"/>
  <c r="S29" i="3"/>
  <c r="S28" i="3"/>
  <c r="S27" i="3"/>
  <c r="S26" i="3"/>
  <c r="S25" i="3"/>
  <c r="S24" i="3"/>
  <c r="S23" i="3"/>
  <c r="S22" i="3"/>
  <c r="S21" i="3"/>
  <c r="S20" i="3"/>
  <c r="S19" i="3"/>
  <c r="S18" i="3"/>
  <c r="S17" i="3"/>
  <c r="S16" i="3"/>
  <c r="S15" i="3"/>
  <c r="S14" i="3"/>
  <c r="BJ43" i="3"/>
  <c r="BJ42" i="3"/>
  <c r="BJ41" i="3"/>
  <c r="BJ40" i="3"/>
  <c r="BJ39" i="3"/>
  <c r="BJ38" i="3"/>
  <c r="BJ37" i="3"/>
  <c r="BJ36" i="3"/>
  <c r="BJ35" i="3"/>
  <c r="BJ34" i="3"/>
  <c r="BJ33" i="3"/>
  <c r="BJ32" i="3"/>
  <c r="BJ31" i="3"/>
  <c r="BJ30" i="3"/>
  <c r="BJ29" i="3"/>
  <c r="BJ28" i="3"/>
  <c r="BJ27" i="3"/>
  <c r="BJ26" i="3"/>
  <c r="BJ25" i="3"/>
  <c r="BJ24" i="3"/>
  <c r="BJ23" i="3"/>
  <c r="BJ22" i="3"/>
  <c r="BJ21" i="3"/>
  <c r="BJ20" i="3"/>
  <c r="BJ19" i="3"/>
  <c r="BJ18" i="3"/>
  <c r="BJ17" i="3"/>
  <c r="BJ16" i="3"/>
  <c r="BJ15" i="3"/>
  <c r="BJ14" i="3"/>
  <c r="BJ13" i="3"/>
  <c r="BJ12" i="3"/>
  <c r="BJ11" i="3"/>
  <c r="BJ10" i="3"/>
  <c r="BJ9" i="3"/>
  <c r="BJ8" i="3"/>
  <c r="BJ7" i="3"/>
  <c r="BJ6"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N9" i="3"/>
  <c r="AN8" i="3"/>
  <c r="AN7" i="3"/>
  <c r="AN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6"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13" i="3"/>
  <c r="BI12" i="3"/>
  <c r="BI11" i="3"/>
  <c r="BI10" i="3"/>
  <c r="BI9" i="3"/>
  <c r="BI8" i="3"/>
  <c r="BI7" i="3"/>
  <c r="BI6" i="3"/>
  <c r="AX43" i="3"/>
  <c r="AX42" i="3"/>
  <c r="AX41" i="3"/>
  <c r="AX40" i="3"/>
  <c r="AX39" i="3"/>
  <c r="AX38" i="3"/>
  <c r="AX37" i="3"/>
  <c r="AX36" i="3"/>
  <c r="AX35" i="3"/>
  <c r="AX34" i="3"/>
  <c r="AX33" i="3"/>
  <c r="AX32" i="3"/>
  <c r="AX31" i="3"/>
  <c r="AX30" i="3"/>
  <c r="AX29" i="3"/>
  <c r="AX28" i="3"/>
  <c r="AX27" i="3"/>
  <c r="AX26" i="3"/>
  <c r="AX25" i="3"/>
  <c r="AX24" i="3"/>
  <c r="AX23" i="3"/>
  <c r="AX22" i="3"/>
  <c r="AX21" i="3"/>
  <c r="AX20" i="3"/>
  <c r="AX19" i="3"/>
  <c r="AX18" i="3"/>
  <c r="AX17" i="3"/>
  <c r="AX16" i="3"/>
  <c r="AX15" i="3"/>
  <c r="AX14" i="3"/>
  <c r="AX13" i="3"/>
  <c r="AX12" i="3"/>
  <c r="AX11" i="3"/>
  <c r="AX10" i="3"/>
  <c r="AX9" i="3"/>
  <c r="AX8" i="3"/>
  <c r="AX7" i="3"/>
  <c r="AX6"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M9" i="3"/>
  <c r="AM8" i="3"/>
  <c r="AM7" i="3"/>
  <c r="AM6"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B9" i="3"/>
  <c r="AB8" i="3"/>
  <c r="AB7" i="3"/>
  <c r="AB6" i="3"/>
  <c r="Q43" i="3"/>
  <c r="Q42" i="3"/>
  <c r="Q41" i="3"/>
  <c r="Q40" i="3"/>
  <c r="Q39" i="3"/>
  <c r="Q38" i="3"/>
  <c r="Q37" i="3"/>
  <c r="Q36" i="3"/>
  <c r="Q35" i="3"/>
  <c r="Q34" i="3"/>
  <c r="Q33" i="3"/>
  <c r="Q32" i="3"/>
  <c r="Q31" i="3"/>
  <c r="Q30" i="3"/>
  <c r="Q29" i="3"/>
  <c r="Q28" i="3"/>
  <c r="Q27" i="3"/>
  <c r="Q26" i="3"/>
  <c r="Q25" i="3"/>
  <c r="Q24" i="3"/>
  <c r="Q23" i="3"/>
  <c r="Q22" i="3"/>
  <c r="Q21" i="3"/>
  <c r="Q20" i="3"/>
  <c r="Q19" i="3"/>
  <c r="Q18" i="3"/>
  <c r="Q17" i="3"/>
  <c r="Q16" i="3"/>
  <c r="Q15" i="3"/>
  <c r="Q14" i="3"/>
  <c r="Q13" i="3"/>
  <c r="Q12" i="3"/>
  <c r="Q11" i="3"/>
  <c r="Q10" i="3"/>
  <c r="Q9" i="3"/>
  <c r="Q8" i="3"/>
  <c r="Q7" i="3"/>
  <c r="Q6" i="3"/>
  <c r="BH43" i="3"/>
  <c r="BH42" i="3"/>
  <c r="BH41" i="3"/>
  <c r="BH40" i="3"/>
  <c r="BH39" i="3"/>
  <c r="BH38" i="3"/>
  <c r="BH37" i="3"/>
  <c r="BH36" i="3"/>
  <c r="BH35" i="3"/>
  <c r="BH34" i="3"/>
  <c r="BH33" i="3"/>
  <c r="BH32" i="3"/>
  <c r="BH31" i="3"/>
  <c r="BH30" i="3"/>
  <c r="BH29" i="3"/>
  <c r="BH28" i="3"/>
  <c r="BR28" i="3" s="1"/>
  <c r="BH27" i="3"/>
  <c r="BH26" i="3"/>
  <c r="BH25" i="3"/>
  <c r="BH24" i="3"/>
  <c r="BH23" i="3"/>
  <c r="BH22" i="3"/>
  <c r="BH21" i="3"/>
  <c r="BH20" i="3"/>
  <c r="BR20" i="3" s="1"/>
  <c r="BH19" i="3"/>
  <c r="BH18" i="3"/>
  <c r="BH17" i="3"/>
  <c r="BH16" i="3"/>
  <c r="BH15" i="3"/>
  <c r="BH14" i="3"/>
  <c r="BH13" i="3"/>
  <c r="BH12" i="3"/>
  <c r="BR12" i="3" s="1"/>
  <c r="BH11" i="3"/>
  <c r="BH10" i="3"/>
  <c r="BH9" i="3"/>
  <c r="BH8" i="3"/>
  <c r="BH7" i="3"/>
  <c r="BH6" i="3"/>
  <c r="AW43" i="3"/>
  <c r="AW42" i="3"/>
  <c r="AW41" i="3"/>
  <c r="AW40" i="3"/>
  <c r="AW39" i="3"/>
  <c r="AW38" i="3"/>
  <c r="AW37" i="3"/>
  <c r="AW36" i="3"/>
  <c r="AW35" i="3"/>
  <c r="AW34" i="3"/>
  <c r="BG34" i="3" s="1"/>
  <c r="AW33" i="3"/>
  <c r="AW32" i="3"/>
  <c r="AW31" i="3"/>
  <c r="AW30" i="3"/>
  <c r="AW29" i="3"/>
  <c r="AW28" i="3"/>
  <c r="AW27" i="3"/>
  <c r="AW26" i="3"/>
  <c r="BG26" i="3" s="1"/>
  <c r="AW25" i="3"/>
  <c r="AW24" i="3"/>
  <c r="AW23" i="3"/>
  <c r="AW22" i="3"/>
  <c r="AW21" i="3"/>
  <c r="AW20" i="3"/>
  <c r="AW19" i="3"/>
  <c r="AW18" i="3"/>
  <c r="AW17" i="3"/>
  <c r="AW16" i="3"/>
  <c r="AW15" i="3"/>
  <c r="AW14" i="3"/>
  <c r="AW13" i="3"/>
  <c r="AW12" i="3"/>
  <c r="AW11" i="3"/>
  <c r="BG11" i="3" s="1"/>
  <c r="AW10" i="3"/>
  <c r="BG10" i="3" s="1"/>
  <c r="AW9" i="3"/>
  <c r="AW8" i="3"/>
  <c r="AW7" i="3"/>
  <c r="AW6" i="3"/>
  <c r="AL43" i="3"/>
  <c r="AL42" i="3"/>
  <c r="AL41" i="3"/>
  <c r="AL40" i="3"/>
  <c r="AV40" i="3" s="1"/>
  <c r="AL39" i="3"/>
  <c r="AL38" i="3"/>
  <c r="AL37" i="3"/>
  <c r="AL36" i="3"/>
  <c r="AL35" i="3"/>
  <c r="AL34" i="3"/>
  <c r="AL33" i="3"/>
  <c r="AL32" i="3"/>
  <c r="AV32" i="3" s="1"/>
  <c r="AL31" i="3"/>
  <c r="AL30" i="3"/>
  <c r="AL29" i="3"/>
  <c r="AL28" i="3"/>
  <c r="AL27" i="3"/>
  <c r="AL26" i="3"/>
  <c r="AL25" i="3"/>
  <c r="AL24" i="3"/>
  <c r="AL23" i="3"/>
  <c r="AL22" i="3"/>
  <c r="AL21" i="3"/>
  <c r="AL20" i="3"/>
  <c r="AL19" i="3"/>
  <c r="AL18" i="3"/>
  <c r="AL17" i="3"/>
  <c r="AL16" i="3"/>
  <c r="AV16" i="3" s="1"/>
  <c r="AL15" i="3"/>
  <c r="AL14" i="3"/>
  <c r="AL13" i="3"/>
  <c r="AL12" i="3"/>
  <c r="AL11" i="3"/>
  <c r="AL10" i="3"/>
  <c r="AL9" i="3"/>
  <c r="AV9" i="3" s="1"/>
  <c r="AL8" i="3"/>
  <c r="AV8" i="3" s="1"/>
  <c r="AL7" i="3"/>
  <c r="AV7" i="3" s="1"/>
  <c r="AL6" i="3"/>
  <c r="AA43" i="3"/>
  <c r="AA42" i="3"/>
  <c r="AA41" i="3"/>
  <c r="AA40" i="3"/>
  <c r="AA39" i="3"/>
  <c r="AA38" i="3"/>
  <c r="AK38" i="3" s="1"/>
  <c r="AA37" i="3"/>
  <c r="AA36" i="3"/>
  <c r="AA35" i="3"/>
  <c r="AA34" i="3"/>
  <c r="AA33" i="3"/>
  <c r="AA32" i="3"/>
  <c r="AA31" i="3"/>
  <c r="AA30" i="3"/>
  <c r="AA29" i="3"/>
  <c r="AA28" i="3"/>
  <c r="AA27" i="3"/>
  <c r="AA26" i="3"/>
  <c r="AA25" i="3"/>
  <c r="AA24" i="3"/>
  <c r="AA23" i="3"/>
  <c r="AA22" i="3"/>
  <c r="AK22" i="3" s="1"/>
  <c r="AA21" i="3"/>
  <c r="AA20" i="3"/>
  <c r="AA19" i="3"/>
  <c r="AA18" i="3"/>
  <c r="AA17" i="3"/>
  <c r="AA16" i="3"/>
  <c r="AA15" i="3"/>
  <c r="AA14" i="3"/>
  <c r="AK14" i="3" s="1"/>
  <c r="AA13" i="3"/>
  <c r="AK13" i="3" s="1"/>
  <c r="AA12" i="3"/>
  <c r="AK12" i="3" s="1"/>
  <c r="AA11" i="3"/>
  <c r="AA10" i="3"/>
  <c r="AA9" i="3"/>
  <c r="AA8" i="3"/>
  <c r="AA7" i="3"/>
  <c r="AK7" i="3" s="1"/>
  <c r="AA6" i="3"/>
  <c r="P43" i="3"/>
  <c r="P42" i="3"/>
  <c r="P41" i="3"/>
  <c r="P40" i="3"/>
  <c r="P39" i="3"/>
  <c r="P38" i="3"/>
  <c r="P37" i="3"/>
  <c r="P36" i="3"/>
  <c r="P35" i="3"/>
  <c r="P34" i="3"/>
  <c r="P33" i="3"/>
  <c r="P32" i="3"/>
  <c r="P31" i="3"/>
  <c r="P30" i="3"/>
  <c r="P29" i="3"/>
  <c r="P28" i="3"/>
  <c r="Z28" i="3" s="1"/>
  <c r="P27" i="3"/>
  <c r="P26" i="3"/>
  <c r="P25" i="3"/>
  <c r="P24" i="3"/>
  <c r="P23" i="3"/>
  <c r="P22" i="3"/>
  <c r="P21" i="3"/>
  <c r="P20" i="3"/>
  <c r="Z20" i="3" s="1"/>
  <c r="P19" i="3"/>
  <c r="P18" i="3"/>
  <c r="P17" i="3"/>
  <c r="P16" i="3"/>
  <c r="P15" i="3"/>
  <c r="P14" i="3"/>
  <c r="P13" i="3"/>
  <c r="P12" i="3"/>
  <c r="Z12" i="3" s="1"/>
  <c r="P11" i="3"/>
  <c r="Z11" i="3" s="1"/>
  <c r="P10" i="3"/>
  <c r="P9" i="3"/>
  <c r="P8" i="3"/>
  <c r="P7" i="3"/>
  <c r="P6" i="3"/>
  <c r="K37" i="3"/>
  <c r="L37" i="3"/>
  <c r="M37" i="3"/>
  <c r="N37" i="3"/>
  <c r="O37" i="3"/>
  <c r="O42" i="3"/>
  <c r="N42" i="3"/>
  <c r="M42" i="3"/>
  <c r="L42" i="3"/>
  <c r="K42" i="3"/>
  <c r="O27" i="3"/>
  <c r="N27" i="3"/>
  <c r="M27" i="3"/>
  <c r="L27" i="3"/>
  <c r="K27" i="3"/>
  <c r="O26" i="3"/>
  <c r="N26" i="3"/>
  <c r="M26" i="3"/>
  <c r="L26" i="3"/>
  <c r="K26" i="3"/>
  <c r="K34" i="3"/>
  <c r="L34" i="3"/>
  <c r="M34" i="3"/>
  <c r="N34" i="3"/>
  <c r="O34" i="3"/>
  <c r="K19" i="3"/>
  <c r="M19" i="3"/>
  <c r="N19" i="3"/>
  <c r="O19" i="3"/>
  <c r="K31" i="3"/>
  <c r="L31" i="3"/>
  <c r="M31" i="3"/>
  <c r="N31" i="3"/>
  <c r="O31" i="3"/>
  <c r="K16" i="3"/>
  <c r="L16" i="3"/>
  <c r="M16" i="3"/>
  <c r="N16" i="3"/>
  <c r="O16" i="3"/>
  <c r="K40" i="3"/>
  <c r="L40" i="3"/>
  <c r="M40" i="3"/>
  <c r="BU40" i="3" s="1"/>
  <c r="N40" i="3"/>
  <c r="O40" i="3"/>
  <c r="K22" i="3"/>
  <c r="L22" i="3"/>
  <c r="M22" i="3"/>
  <c r="N22" i="3"/>
  <c r="O22" i="3"/>
  <c r="K25" i="3"/>
  <c r="L25" i="3"/>
  <c r="M25" i="3"/>
  <c r="N25" i="3"/>
  <c r="O25" i="3"/>
  <c r="K14" i="3"/>
  <c r="L14" i="3"/>
  <c r="M14" i="3"/>
  <c r="N14" i="3"/>
  <c r="O14" i="3"/>
  <c r="K15" i="3"/>
  <c r="L15" i="3"/>
  <c r="M15" i="3"/>
  <c r="N15" i="3"/>
  <c r="O15" i="3"/>
  <c r="K17" i="3"/>
  <c r="L17" i="3"/>
  <c r="M17" i="3"/>
  <c r="N17" i="3"/>
  <c r="O17" i="3"/>
  <c r="K18" i="3"/>
  <c r="L18" i="3"/>
  <c r="M18" i="3"/>
  <c r="N18" i="3"/>
  <c r="O18" i="3"/>
  <c r="L19" i="3"/>
  <c r="K20" i="3"/>
  <c r="L20" i="3"/>
  <c r="M20" i="3"/>
  <c r="N20" i="3"/>
  <c r="O20" i="3"/>
  <c r="K21" i="3"/>
  <c r="L21" i="3"/>
  <c r="M21" i="3"/>
  <c r="N21" i="3"/>
  <c r="O21" i="3"/>
  <c r="K23" i="3"/>
  <c r="L23" i="3"/>
  <c r="M23" i="3"/>
  <c r="N23" i="3"/>
  <c r="O23" i="3"/>
  <c r="K24" i="3"/>
  <c r="L24" i="3"/>
  <c r="M24" i="3"/>
  <c r="N24" i="3"/>
  <c r="O24" i="3"/>
  <c r="K29" i="3"/>
  <c r="L29" i="3"/>
  <c r="M29" i="3"/>
  <c r="N29" i="3"/>
  <c r="O29" i="3"/>
  <c r="K30" i="3"/>
  <c r="L30" i="3"/>
  <c r="M30" i="3"/>
  <c r="N30" i="3"/>
  <c r="O30" i="3"/>
  <c r="K32" i="3"/>
  <c r="L32" i="3"/>
  <c r="M32" i="3"/>
  <c r="N32" i="3"/>
  <c r="O32" i="3"/>
  <c r="K33" i="3"/>
  <c r="L33" i="3"/>
  <c r="M33" i="3"/>
  <c r="N33" i="3"/>
  <c r="O33" i="3"/>
  <c r="K35" i="3"/>
  <c r="L35" i="3"/>
  <c r="M35" i="3"/>
  <c r="N35" i="3"/>
  <c r="O35" i="3"/>
  <c r="K36" i="3"/>
  <c r="L36" i="3"/>
  <c r="M36" i="3"/>
  <c r="N36" i="3"/>
  <c r="O36" i="3"/>
  <c r="K38" i="3"/>
  <c r="L38" i="3"/>
  <c r="M38" i="3"/>
  <c r="N38" i="3"/>
  <c r="O38" i="3"/>
  <c r="K39" i="3"/>
  <c r="L39" i="3"/>
  <c r="M39" i="3"/>
  <c r="N39" i="3"/>
  <c r="O39" i="3"/>
  <c r="K41" i="3"/>
  <c r="L41" i="3"/>
  <c r="M41" i="3"/>
  <c r="N41" i="3"/>
  <c r="O41" i="3"/>
  <c r="K13" i="3"/>
  <c r="L13" i="3"/>
  <c r="M13" i="3"/>
  <c r="N13" i="3"/>
  <c r="O13" i="3"/>
  <c r="K9" i="3"/>
  <c r="L9" i="3"/>
  <c r="M9" i="3"/>
  <c r="N9" i="3"/>
  <c r="O9" i="3"/>
  <c r="K6" i="3"/>
  <c r="L6" i="3"/>
  <c r="M6" i="3"/>
  <c r="N6" i="3"/>
  <c r="O6" i="3"/>
  <c r="K7" i="3"/>
  <c r="L7" i="3"/>
  <c r="M7" i="3"/>
  <c r="BU7" i="3" s="1"/>
  <c r="N7" i="3"/>
  <c r="O7" i="3"/>
  <c r="K8" i="3"/>
  <c r="L8" i="3"/>
  <c r="M8" i="3"/>
  <c r="N8" i="3"/>
  <c r="O8" i="3"/>
  <c r="K10" i="3"/>
  <c r="L10" i="3"/>
  <c r="M10" i="3"/>
  <c r="N10" i="3"/>
  <c r="O10" i="3"/>
  <c r="K11" i="3"/>
  <c r="L11" i="3"/>
  <c r="M11" i="3"/>
  <c r="N11" i="3"/>
  <c r="O11" i="3"/>
  <c r="K12" i="3"/>
  <c r="L12" i="3"/>
  <c r="M12" i="3"/>
  <c r="N12" i="3"/>
  <c r="O12" i="3"/>
  <c r="J11" i="11" l="1"/>
  <c r="BV10" i="3"/>
  <c r="BG35" i="3"/>
  <c r="BV35" i="3" s="1"/>
  <c r="CA35" i="3" s="1"/>
  <c r="BR37" i="3"/>
  <c r="BU23" i="3"/>
  <c r="BV34" i="3"/>
  <c r="Z14" i="3"/>
  <c r="AK8" i="3"/>
  <c r="BT8" i="3" s="1"/>
  <c r="BY8" i="3" s="1"/>
  <c r="AK40" i="3"/>
  <c r="BT40" i="3" s="1"/>
  <c r="BY40" i="3" s="1"/>
  <c r="BG12" i="3"/>
  <c r="BV12" i="3" s="1"/>
  <c r="CA12" i="3" s="1"/>
  <c r="BU9" i="3"/>
  <c r="BU32" i="3"/>
  <c r="BU25" i="3"/>
  <c r="BZ25" i="3" s="1"/>
  <c r="BV19" i="3"/>
  <c r="CA19" i="3" s="1"/>
  <c r="Z10" i="3"/>
  <c r="Z26" i="3"/>
  <c r="Z34" i="3"/>
  <c r="BS34" i="3" s="1"/>
  <c r="BX34" i="3" s="1"/>
  <c r="BU8" i="3"/>
  <c r="BU17" i="3"/>
  <c r="BZ17" i="3" s="1"/>
  <c r="BV40" i="3"/>
  <c r="BU19" i="3"/>
  <c r="Z19" i="3"/>
  <c r="Z35" i="3"/>
  <c r="Z43" i="3"/>
  <c r="AK29" i="3"/>
  <c r="BT29" i="3" s="1"/>
  <c r="BY29" i="3" s="1"/>
  <c r="AK37" i="3"/>
  <c r="BT37" i="3" s="1"/>
  <c r="BY37" i="3" s="1"/>
  <c r="AV23" i="3"/>
  <c r="AV31" i="3"/>
  <c r="BG9" i="3"/>
  <c r="BG17" i="3"/>
  <c r="BV17" i="3" s="1"/>
  <c r="CA17" i="3" s="1"/>
  <c r="BG25" i="3"/>
  <c r="BG41" i="3"/>
  <c r="BV41" i="3" s="1"/>
  <c r="CA41" i="3" s="1"/>
  <c r="BR11" i="3"/>
  <c r="BR19" i="3"/>
  <c r="BR35" i="3"/>
  <c r="BR43" i="3"/>
  <c r="BU12" i="3"/>
  <c r="BZ12" i="3" s="1"/>
  <c r="AK23" i="3"/>
  <c r="AV17" i="3"/>
  <c r="BG19" i="3"/>
  <c r="BG43" i="3"/>
  <c r="AK16" i="3"/>
  <c r="AV10" i="3"/>
  <c r="BU10" i="3" s="1"/>
  <c r="BZ10" i="3" s="1"/>
  <c r="AV34" i="3"/>
  <c r="BR13" i="3"/>
  <c r="BU31" i="3"/>
  <c r="BG28" i="3"/>
  <c r="BR38" i="3"/>
  <c r="BW38" i="3" s="1"/>
  <c r="CB38" i="3" s="1"/>
  <c r="BU13" i="3"/>
  <c r="BZ13" i="3" s="1"/>
  <c r="BU34" i="3"/>
  <c r="BZ34" i="3" s="1"/>
  <c r="Z7" i="3"/>
  <c r="Z23" i="3"/>
  <c r="Z31" i="3"/>
  <c r="AK9" i="3"/>
  <c r="BT9" i="3" s="1"/>
  <c r="BY9" i="3" s="1"/>
  <c r="AK17" i="3"/>
  <c r="BT17" i="3" s="1"/>
  <c r="BY17" i="3" s="1"/>
  <c r="AK25" i="3"/>
  <c r="BT25" i="3" s="1"/>
  <c r="BY25" i="3" s="1"/>
  <c r="AK41" i="3"/>
  <c r="AV11" i="3"/>
  <c r="AV19" i="3"/>
  <c r="AV35" i="3"/>
  <c r="BU35" i="3" s="1"/>
  <c r="BZ35" i="3" s="1"/>
  <c r="AV43" i="3"/>
  <c r="BG13" i="3"/>
  <c r="BG29" i="3"/>
  <c r="BV29" i="3" s="1"/>
  <c r="CA29" i="3" s="1"/>
  <c r="BG37" i="3"/>
  <c r="BV37" i="3" s="1"/>
  <c r="CA37" i="3" s="1"/>
  <c r="BR7" i="3"/>
  <c r="BR23" i="3"/>
  <c r="BW23" i="3" s="1"/>
  <c r="CB23" i="3" s="1"/>
  <c r="BR31" i="3"/>
  <c r="BW31" i="3" s="1"/>
  <c r="CB31" i="3" s="1"/>
  <c r="Z37" i="3"/>
  <c r="AK31" i="3"/>
  <c r="AV41" i="3"/>
  <c r="BU41" i="3" s="1"/>
  <c r="BZ41" i="3" s="1"/>
  <c r="BR29" i="3"/>
  <c r="BW29" i="3" s="1"/>
  <c r="CB29" i="3" s="1"/>
  <c r="BV22" i="3"/>
  <c r="CA22" i="3" s="1"/>
  <c r="Z22" i="3"/>
  <c r="BR14" i="3"/>
  <c r="BU20" i="3"/>
  <c r="BZ20" i="3" s="1"/>
  <c r="Z8" i="3"/>
  <c r="Z16" i="3"/>
  <c r="Z32" i="3"/>
  <c r="Z40" i="3"/>
  <c r="BS40" i="3" s="1"/>
  <c r="BX40" i="3" s="1"/>
  <c r="AK10" i="3"/>
  <c r="BT10" i="3" s="1"/>
  <c r="BY10" i="3" s="1"/>
  <c r="AK26" i="3"/>
  <c r="AK34" i="3"/>
  <c r="AV12" i="3"/>
  <c r="AV20" i="3"/>
  <c r="AV28" i="3"/>
  <c r="BG14" i="3"/>
  <c r="BV14" i="3" s="1"/>
  <c r="CA14" i="3" s="1"/>
  <c r="BG22" i="3"/>
  <c r="BG38" i="3"/>
  <c r="BR8" i="3"/>
  <c r="BR16" i="3"/>
  <c r="BW16" i="3" s="1"/>
  <c r="CB16" i="3" s="1"/>
  <c r="BR32" i="3"/>
  <c r="BW32" i="3" s="1"/>
  <c r="CB32" i="3" s="1"/>
  <c r="BR40" i="3"/>
  <c r="BV38" i="3"/>
  <c r="BV26" i="3"/>
  <c r="CA26" i="3" s="1"/>
  <c r="Z13" i="3"/>
  <c r="Z29" i="3"/>
  <c r="AV25" i="3"/>
  <c r="BV13" i="3"/>
  <c r="CA13" i="3" s="1"/>
  <c r="Z38" i="3"/>
  <c r="AK32" i="3"/>
  <c r="BT32" i="3" s="1"/>
  <c r="BY32" i="3" s="1"/>
  <c r="AV26" i="3"/>
  <c r="BU26" i="3" s="1"/>
  <c r="BZ26" i="3" s="1"/>
  <c r="BG20" i="3"/>
  <c r="BV20" i="3" s="1"/>
  <c r="CA20" i="3" s="1"/>
  <c r="BR22" i="3"/>
  <c r="BV11" i="3"/>
  <c r="BU11" i="3"/>
  <c r="BV9" i="3"/>
  <c r="CA9" i="3" s="1"/>
  <c r="BV25" i="3"/>
  <c r="CA25" i="3" s="1"/>
  <c r="BU16" i="3"/>
  <c r="BZ16" i="3" s="1"/>
  <c r="Z9" i="3"/>
  <c r="Z17" i="3"/>
  <c r="Z25" i="3"/>
  <c r="Z41" i="3"/>
  <c r="BS41" i="3" s="1"/>
  <c r="BX41" i="3" s="1"/>
  <c r="AK11" i="3"/>
  <c r="BT11" i="3" s="1"/>
  <c r="BY11" i="3" s="1"/>
  <c r="AK19" i="3"/>
  <c r="BT19" i="3" s="1"/>
  <c r="BY19" i="3" s="1"/>
  <c r="AK35" i="3"/>
  <c r="AK43" i="3"/>
  <c r="AV13" i="3"/>
  <c r="AV29" i="3"/>
  <c r="BU29" i="3" s="1"/>
  <c r="BZ29" i="3" s="1"/>
  <c r="AV37" i="3"/>
  <c r="BU37" i="3" s="1"/>
  <c r="BZ37" i="3" s="1"/>
  <c r="BG7" i="3"/>
  <c r="BV7" i="3" s="1"/>
  <c r="CA7" i="3" s="1"/>
  <c r="BG23" i="3"/>
  <c r="BV23" i="3" s="1"/>
  <c r="CA23" i="3" s="1"/>
  <c r="BG31" i="3"/>
  <c r="BV31" i="3" s="1"/>
  <c r="CA31" i="3" s="1"/>
  <c r="BR9" i="3"/>
  <c r="BW9" i="3" s="1"/>
  <c r="CB9" i="3" s="1"/>
  <c r="BR17" i="3"/>
  <c r="BW17" i="3" s="1"/>
  <c r="CB17" i="3" s="1"/>
  <c r="BR25" i="3"/>
  <c r="BR41" i="3"/>
  <c r="AK20" i="3"/>
  <c r="AK28" i="3"/>
  <c r="AV14" i="3"/>
  <c r="BU14" i="3" s="1"/>
  <c r="BZ14" i="3" s="1"/>
  <c r="AV22" i="3"/>
  <c r="BU22" i="3" s="1"/>
  <c r="BZ22" i="3" s="1"/>
  <c r="AV38" i="3"/>
  <c r="BU38" i="3" s="1"/>
  <c r="BZ38" i="3" s="1"/>
  <c r="BG8" i="3"/>
  <c r="BV8" i="3" s="1"/>
  <c r="CA8" i="3" s="1"/>
  <c r="BG16" i="3"/>
  <c r="BV16" i="3" s="1"/>
  <c r="CA16" i="3" s="1"/>
  <c r="BG32" i="3"/>
  <c r="BV32" i="3" s="1"/>
  <c r="CA32" i="3" s="1"/>
  <c r="BG40" i="3"/>
  <c r="BR10" i="3"/>
  <c r="BW10" i="3" s="1"/>
  <c r="CB10" i="3" s="1"/>
  <c r="BR26" i="3"/>
  <c r="BW26" i="3" s="1"/>
  <c r="CB26" i="3" s="1"/>
  <c r="BR34" i="3"/>
  <c r="L11" i="11"/>
  <c r="BR6" i="3"/>
  <c r="BW6" i="3" s="1"/>
  <c r="Z6" i="3"/>
  <c r="BS6" i="3" s="1"/>
  <c r="BX6" i="3" s="1"/>
  <c r="BS10" i="3"/>
  <c r="BX10" i="3" s="1"/>
  <c r="BS20" i="3"/>
  <c r="BX20" i="3" s="1"/>
  <c r="AK6" i="3"/>
  <c r="BT6" i="3" s="1"/>
  <c r="BY6" i="3" s="1"/>
  <c r="BZ8" i="3"/>
  <c r="BZ40" i="3"/>
  <c r="CA10" i="3"/>
  <c r="BW20" i="3"/>
  <c r="CB20" i="3" s="1"/>
  <c r="BS13" i="3"/>
  <c r="BX13" i="3" s="1"/>
  <c r="BT7" i="3"/>
  <c r="BZ9" i="3"/>
  <c r="CA11" i="3"/>
  <c r="BS7" i="3"/>
  <c r="BW7" i="3"/>
  <c r="CA38" i="3"/>
  <c r="BG6" i="3"/>
  <c r="BW8" i="3"/>
  <c r="CB8" i="3" s="1"/>
  <c r="BT31" i="3"/>
  <c r="BY31" i="3" s="1"/>
  <c r="BS12" i="3"/>
  <c r="BX12" i="3" s="1"/>
  <c r="BS11" i="3"/>
  <c r="BX11" i="3" s="1"/>
  <c r="BS35" i="3"/>
  <c r="BX35" i="3" s="1"/>
  <c r="BT13" i="3"/>
  <c r="BY13" i="3" s="1"/>
  <c r="BZ7" i="3"/>
  <c r="BZ31" i="3"/>
  <c r="BW11" i="3"/>
  <c r="CB11" i="3" s="1"/>
  <c r="BW35" i="3"/>
  <c r="CB35" i="3" s="1"/>
  <c r="BT41" i="3"/>
  <c r="BY41" i="3" s="1"/>
  <c r="BZ32" i="3"/>
  <c r="BS37" i="3"/>
  <c r="BX37" i="3" s="1"/>
  <c r="BT23" i="3"/>
  <c r="BY23" i="3" s="1"/>
  <c r="BW37" i="3"/>
  <c r="CB37" i="3" s="1"/>
  <c r="BW25" i="3"/>
  <c r="CB25" i="3" s="1"/>
  <c r="BS14" i="3"/>
  <c r="BX14" i="3" s="1"/>
  <c r="BT20" i="3"/>
  <c r="BY20" i="3" s="1"/>
  <c r="CA40" i="3"/>
  <c r="BS31" i="3"/>
  <c r="BX31" i="3" s="1"/>
  <c r="BS29" i="3"/>
  <c r="BX29" i="3" s="1"/>
  <c r="BS17" i="3"/>
  <c r="BX17" i="3" s="1"/>
  <c r="BW41" i="3"/>
  <c r="CB41" i="3" s="1"/>
  <c r="BT26" i="3"/>
  <c r="BY26" i="3" s="1"/>
  <c r="BS23" i="3"/>
  <c r="BX23" i="3" s="1"/>
  <c r="BZ11" i="3"/>
  <c r="BZ19" i="3"/>
  <c r="BS25" i="3"/>
  <c r="BX25" i="3" s="1"/>
  <c r="BT16" i="3"/>
  <c r="BY16" i="3" s="1"/>
  <c r="BS8" i="3"/>
  <c r="BX8" i="3" s="1"/>
  <c r="BW19" i="3"/>
  <c r="CB19" i="3" s="1"/>
  <c r="BS22" i="3"/>
  <c r="BX22" i="3" s="1"/>
  <c r="BS38" i="3"/>
  <c r="BX38" i="3" s="1"/>
  <c r="BW14" i="3"/>
  <c r="CB14" i="3" s="1"/>
  <c r="BW22" i="3"/>
  <c r="CB22" i="3" s="1"/>
  <c r="BS26" i="3"/>
  <c r="BX26" i="3" s="1"/>
  <c r="BT12" i="3"/>
  <c r="BY12" i="3" s="1"/>
  <c r="BW34" i="3"/>
  <c r="CB34" i="3" s="1"/>
  <c r="BS19" i="3"/>
  <c r="BX19" i="3" s="1"/>
  <c r="BW13" i="3"/>
  <c r="CB13" i="3" s="1"/>
  <c r="BZ23" i="3"/>
  <c r="BT34" i="3"/>
  <c r="BY34" i="3" s="1"/>
  <c r="BT14" i="3"/>
  <c r="BY14" i="3" s="1"/>
  <c r="BT22" i="3"/>
  <c r="BY22" i="3" s="1"/>
  <c r="BT38" i="3"/>
  <c r="BY38" i="3" s="1"/>
  <c r="CA34" i="3"/>
  <c r="BW12" i="3"/>
  <c r="CB12" i="3" s="1"/>
  <c r="BS16" i="3"/>
  <c r="BX16" i="3" s="1"/>
  <c r="BS32" i="3"/>
  <c r="BX32" i="3" s="1"/>
  <c r="BW40" i="3"/>
  <c r="CB40" i="3" s="1"/>
  <c r="BS9" i="3"/>
  <c r="BX9" i="3" s="1"/>
  <c r="BT35" i="3"/>
  <c r="BY35" i="3" s="1"/>
  <c r="AV6" i="3"/>
  <c r="BU6" i="3" s="1"/>
  <c r="K11" i="11"/>
  <c r="H11" i="11"/>
  <c r="I12" i="11"/>
  <c r="J12" i="11"/>
  <c r="D12" i="17"/>
  <c r="K10" i="4" s="1"/>
  <c r="L10" i="4" s="1"/>
  <c r="M8" i="14"/>
  <c r="G4" i="4" s="1"/>
  <c r="K43" i="3"/>
  <c r="BS43" i="3" s="1"/>
  <c r="BX43" i="3" s="1"/>
  <c r="L43" i="3"/>
  <c r="L28" i="3"/>
  <c r="K28" i="3"/>
  <c r="BS28" i="3" s="1"/>
  <c r="BX28" i="3" s="1"/>
  <c r="N43" i="3"/>
  <c r="M43" i="3"/>
  <c r="N28" i="3"/>
  <c r="M28" i="3"/>
  <c r="O43" i="3"/>
  <c r="O28" i="3"/>
  <c r="BU28" i="3" l="1"/>
  <c r="BZ28" i="3" s="1"/>
  <c r="BV28" i="3"/>
  <c r="CA28" i="3" s="1"/>
  <c r="BU43" i="3"/>
  <c r="BZ43" i="3" s="1"/>
  <c r="BV43" i="3"/>
  <c r="CA43" i="3" s="1"/>
  <c r="BV6" i="3"/>
  <c r="CB7" i="3"/>
  <c r="BY7" i="3"/>
  <c r="BX7" i="3"/>
  <c r="L12" i="11"/>
  <c r="BW28" i="3"/>
  <c r="CB28" i="3" s="1"/>
  <c r="BW43" i="3"/>
  <c r="CB43" i="3" s="1"/>
  <c r="BT28" i="3"/>
  <c r="BY28" i="3" s="1"/>
  <c r="CB6" i="3"/>
  <c r="BZ6" i="3"/>
  <c r="BT43" i="3"/>
  <c r="BY43" i="3" s="1"/>
  <c r="I13" i="11"/>
  <c r="M11" i="11"/>
  <c r="H12" i="11"/>
  <c r="K12" i="11"/>
  <c r="J13" i="11"/>
  <c r="D13" i="17"/>
  <c r="K11" i="4" s="1"/>
  <c r="L11" i="4" s="1"/>
  <c r="M9" i="14"/>
  <c r="G5" i="4" s="1"/>
  <c r="CA6" i="3" l="1"/>
  <c r="M12" i="11"/>
  <c r="I10" i="4" s="1"/>
  <c r="J10" i="4" s="1"/>
  <c r="L13" i="11"/>
  <c r="K13" i="11"/>
  <c r="J14" i="11"/>
  <c r="H13" i="11"/>
  <c r="I9" i="4"/>
  <c r="J9" i="4" s="1"/>
  <c r="I14" i="11"/>
  <c r="D14" i="17"/>
  <c r="K12" i="4" s="1"/>
  <c r="L12" i="4" s="1"/>
  <c r="M10" i="14"/>
  <c r="G6" i="4" s="1"/>
  <c r="L14" i="11" l="1"/>
  <c r="I15" i="11"/>
  <c r="J15" i="11"/>
  <c r="K14" i="11"/>
  <c r="M13" i="11"/>
  <c r="H14" i="11"/>
  <c r="D15" i="17"/>
  <c r="K13" i="4" s="1"/>
  <c r="L13" i="4" s="1"/>
  <c r="M11" i="14"/>
  <c r="G7" i="4" s="1"/>
  <c r="L15" i="11" l="1"/>
  <c r="K15" i="11"/>
  <c r="I11" i="4"/>
  <c r="J11" i="4" s="1"/>
  <c r="J16" i="11"/>
  <c r="M14" i="11"/>
  <c r="I12" i="4" s="1"/>
  <c r="J12" i="4" s="1"/>
  <c r="H15" i="11"/>
  <c r="I16" i="11"/>
  <c r="D16" i="17"/>
  <c r="K14" i="4" s="1"/>
  <c r="L14" i="4" s="1"/>
  <c r="M12" i="14"/>
  <c r="G8" i="4" s="1"/>
  <c r="M15" i="11" l="1"/>
  <c r="I13" i="4" s="1"/>
  <c r="J13" i="4" s="1"/>
  <c r="L16" i="11"/>
  <c r="J17" i="11"/>
  <c r="I17" i="11"/>
  <c r="H16" i="11"/>
  <c r="K16" i="11"/>
  <c r="D17" i="17"/>
  <c r="K15" i="4" s="1"/>
  <c r="L15" i="4" s="1"/>
  <c r="C14" i="13"/>
  <c r="AI36" i="3" l="1"/>
  <c r="AK36" i="3" s="1"/>
  <c r="BT36" i="3" s="1"/>
  <c r="BY36" i="3" s="1"/>
  <c r="X33" i="3"/>
  <c r="Z33" i="3" s="1"/>
  <c r="BS33" i="3" s="1"/>
  <c r="BX33" i="3" s="1"/>
  <c r="BO15" i="3"/>
  <c r="BR15" i="3" s="1"/>
  <c r="BW15" i="3" s="1"/>
  <c r="AH39" i="3"/>
  <c r="AK39" i="3" s="1"/>
  <c r="BT39" i="3" s="1"/>
  <c r="BY39" i="3" s="1"/>
  <c r="BN27" i="3"/>
  <c r="BR27" i="3" s="1"/>
  <c r="BW27" i="3" s="1"/>
  <c r="CB27" i="3" s="1"/>
  <c r="BP36" i="3"/>
  <c r="BR36" i="3" s="1"/>
  <c r="BW36" i="3" s="1"/>
  <c r="CB36" i="3" s="1"/>
  <c r="BE33" i="3"/>
  <c r="BG33" i="3" s="1"/>
  <c r="BV33" i="3" s="1"/>
  <c r="CA33" i="3" s="1"/>
  <c r="AT30" i="3"/>
  <c r="AV30" i="3" s="1"/>
  <c r="BU30" i="3" s="1"/>
  <c r="BZ30" i="3" s="1"/>
  <c r="AH21" i="3"/>
  <c r="AK21" i="3" s="1"/>
  <c r="BT21" i="3" s="1"/>
  <c r="BY21" i="3" s="1"/>
  <c r="W18" i="3"/>
  <c r="Z18" i="3" s="1"/>
  <c r="BS18" i="3" s="1"/>
  <c r="BX18" i="3" s="1"/>
  <c r="BO39" i="3"/>
  <c r="BR39" i="3" s="1"/>
  <c r="BW39" i="3" s="1"/>
  <c r="CB39" i="3" s="1"/>
  <c r="AS42" i="3"/>
  <c r="AV42" i="3" s="1"/>
  <c r="BU42" i="3" s="1"/>
  <c r="BZ42" i="3" s="1"/>
  <c r="AG24" i="3"/>
  <c r="AK24" i="3" s="1"/>
  <c r="BT24" i="3" s="1"/>
  <c r="BY24" i="3" s="1"/>
  <c r="X36" i="3"/>
  <c r="Z36" i="3" s="1"/>
  <c r="BS36" i="3" s="1"/>
  <c r="BX36" i="3" s="1"/>
  <c r="BD39" i="3"/>
  <c r="BG39" i="3" s="1"/>
  <c r="BV39" i="3" s="1"/>
  <c r="CA39" i="3" s="1"/>
  <c r="BO21" i="3"/>
  <c r="BR21" i="3" s="1"/>
  <c r="BW21" i="3" s="1"/>
  <c r="CB21" i="3" s="1"/>
  <c r="BD18" i="3"/>
  <c r="BG18" i="3" s="1"/>
  <c r="BV18" i="3" s="1"/>
  <c r="CA18" i="3" s="1"/>
  <c r="AS15" i="3"/>
  <c r="AV15" i="3" s="1"/>
  <c r="BU15" i="3" s="1"/>
  <c r="BN24" i="3"/>
  <c r="BR24" i="3" s="1"/>
  <c r="BW24" i="3" s="1"/>
  <c r="CB24" i="3" s="1"/>
  <c r="AR27" i="3"/>
  <c r="AV27" i="3" s="1"/>
  <c r="BU27" i="3" s="1"/>
  <c r="BZ27" i="3" s="1"/>
  <c r="BE36" i="3"/>
  <c r="BG36" i="3" s="1"/>
  <c r="BV36" i="3" s="1"/>
  <c r="CA36" i="3" s="1"/>
  <c r="AT33" i="3"/>
  <c r="AV33" i="3" s="1"/>
  <c r="BU33" i="3" s="1"/>
  <c r="BZ33" i="3" s="1"/>
  <c r="AI30" i="3"/>
  <c r="AK30" i="3" s="1"/>
  <c r="BT30" i="3" s="1"/>
  <c r="BY30" i="3" s="1"/>
  <c r="W21" i="3"/>
  <c r="Z21" i="3" s="1"/>
  <c r="BS21" i="3" s="1"/>
  <c r="BX21" i="3" s="1"/>
  <c r="AT36" i="3"/>
  <c r="AV36" i="3" s="1"/>
  <c r="BU36" i="3" s="1"/>
  <c r="BZ36" i="3" s="1"/>
  <c r="AI33" i="3"/>
  <c r="AK33" i="3" s="1"/>
  <c r="BT33" i="3" s="1"/>
  <c r="BY33" i="3" s="1"/>
  <c r="X30" i="3"/>
  <c r="Z30" i="3" s="1"/>
  <c r="BS30" i="3" s="1"/>
  <c r="BX30" i="3" s="1"/>
  <c r="AS39" i="3"/>
  <c r="AV39" i="3" s="1"/>
  <c r="BU39" i="3" s="1"/>
  <c r="BZ39" i="3" s="1"/>
  <c r="W42" i="3"/>
  <c r="Z42" i="3" s="1"/>
  <c r="BS42" i="3" s="1"/>
  <c r="BX42" i="3" s="1"/>
  <c r="BO18" i="3"/>
  <c r="BR18" i="3" s="1"/>
  <c r="BW18" i="3" s="1"/>
  <c r="CB18" i="3" s="1"/>
  <c r="W39" i="3"/>
  <c r="Z39" i="3" s="1"/>
  <c r="BS39" i="3" s="1"/>
  <c r="BX39" i="3" s="1"/>
  <c r="BP33" i="3"/>
  <c r="BR33" i="3" s="1"/>
  <c r="BW33" i="3" s="1"/>
  <c r="CB33" i="3" s="1"/>
  <c r="BE30" i="3"/>
  <c r="BG30" i="3" s="1"/>
  <c r="BV30" i="3" s="1"/>
  <c r="CA30" i="3" s="1"/>
  <c r="AS21" i="3"/>
  <c r="AV21" i="3" s="1"/>
  <c r="BU21" i="3" s="1"/>
  <c r="BZ21" i="3" s="1"/>
  <c r="AH18" i="3"/>
  <c r="AK18" i="3" s="1"/>
  <c r="BT18" i="3" s="1"/>
  <c r="BY18" i="3" s="1"/>
  <c r="W15" i="3"/>
  <c r="Z15" i="3" s="1"/>
  <c r="BS15" i="3" s="1"/>
  <c r="BD42" i="3"/>
  <c r="BG42" i="3" s="1"/>
  <c r="BV42" i="3" s="1"/>
  <c r="CA42" i="3" s="1"/>
  <c r="AR24" i="3"/>
  <c r="AV24" i="3" s="1"/>
  <c r="BU24" i="3" s="1"/>
  <c r="BZ24" i="3" s="1"/>
  <c r="V27" i="3"/>
  <c r="Z27" i="3" s="1"/>
  <c r="BS27" i="3" s="1"/>
  <c r="BX27" i="3" s="1"/>
  <c r="AH42" i="3"/>
  <c r="AK42" i="3" s="1"/>
  <c r="BT42" i="3" s="1"/>
  <c r="BY42" i="3" s="1"/>
  <c r="V24" i="3"/>
  <c r="Z24" i="3" s="1"/>
  <c r="BS24" i="3" s="1"/>
  <c r="BX24" i="3" s="1"/>
  <c r="BP30" i="3"/>
  <c r="BR30" i="3" s="1"/>
  <c r="BW30" i="3" s="1"/>
  <c r="CB30" i="3" s="1"/>
  <c r="BD21" i="3"/>
  <c r="BG21" i="3" s="1"/>
  <c r="BV21" i="3" s="1"/>
  <c r="CA21" i="3" s="1"/>
  <c r="AS18" i="3"/>
  <c r="AV18" i="3" s="1"/>
  <c r="BU18" i="3" s="1"/>
  <c r="BZ18" i="3" s="1"/>
  <c r="AH15" i="3"/>
  <c r="AK15" i="3" s="1"/>
  <c r="BT15" i="3" s="1"/>
  <c r="BO42" i="3"/>
  <c r="BR42" i="3" s="1"/>
  <c r="BW42" i="3" s="1"/>
  <c r="CB42" i="3" s="1"/>
  <c r="BC24" i="3"/>
  <c r="BG24" i="3" s="1"/>
  <c r="BV24" i="3" s="1"/>
  <c r="CA24" i="3" s="1"/>
  <c r="AG27" i="3"/>
  <c r="AK27" i="3" s="1"/>
  <c r="BT27" i="3" s="1"/>
  <c r="BY27" i="3" s="1"/>
  <c r="BD15" i="3"/>
  <c r="BG15" i="3" s="1"/>
  <c r="BV15" i="3" s="1"/>
  <c r="BC27" i="3"/>
  <c r="BG27" i="3" s="1"/>
  <c r="BV27" i="3" s="1"/>
  <c r="CA27" i="3" s="1"/>
  <c r="L17" i="11"/>
  <c r="I18" i="11"/>
  <c r="K17" i="11"/>
  <c r="M16" i="11"/>
  <c r="H17" i="11"/>
  <c r="J18" i="11"/>
  <c r="D18" i="17"/>
  <c r="K16" i="4" s="1"/>
  <c r="L16" i="4" s="1"/>
  <c r="E3" i="4"/>
  <c r="E4" i="4"/>
  <c r="E6" i="4"/>
  <c r="E7" i="4"/>
  <c r="E8" i="4"/>
  <c r="I5" i="9"/>
  <c r="I6" i="9"/>
  <c r="I7" i="9"/>
  <c r="E5" i="4" s="1"/>
  <c r="I8" i="9"/>
  <c r="I9" i="9"/>
  <c r="I10" i="9"/>
  <c r="I4" i="9"/>
  <c r="E2" i="4" s="1"/>
  <c r="BY15" i="3" l="1"/>
  <c r="BY44" i="3" s="1"/>
  <c r="S7" i="22"/>
  <c r="S8" i="22" s="1"/>
  <c r="BX15" i="3"/>
  <c r="BX44" i="3" s="1"/>
  <c r="R7" i="22"/>
  <c r="R8" i="22" s="1"/>
  <c r="CB15" i="3"/>
  <c r="CB44" i="3" s="1"/>
  <c r="V7" i="22"/>
  <c r="V8" i="22" s="1"/>
  <c r="BZ15" i="3"/>
  <c r="BZ44" i="3" s="1"/>
  <c r="T7" i="22"/>
  <c r="T8" i="22" s="1"/>
  <c r="CA15" i="3"/>
  <c r="CA44" i="3" s="1"/>
  <c r="U7" i="22"/>
  <c r="U8" i="22" s="1"/>
  <c r="L18" i="11"/>
  <c r="M17" i="11"/>
  <c r="I15" i="4" s="1"/>
  <c r="J15" i="4" s="1"/>
  <c r="I14" i="4"/>
  <c r="J14" i="4" s="1"/>
  <c r="H18" i="11"/>
  <c r="K18" i="11"/>
  <c r="J19" i="11"/>
  <c r="I19" i="11"/>
  <c r="D19" i="17"/>
  <c r="K17" i="4" s="1"/>
  <c r="L17" i="4" s="1"/>
  <c r="H13" i="14" l="1"/>
  <c r="J13" i="14"/>
  <c r="O14" i="21"/>
  <c r="AD14" i="21" s="1"/>
  <c r="O11" i="4" s="1"/>
  <c r="P11" i="4" s="1"/>
  <c r="O17" i="21"/>
  <c r="AD17" i="21" s="1"/>
  <c r="O14" i="4" s="1"/>
  <c r="P14" i="4" s="1"/>
  <c r="O29" i="21"/>
  <c r="AD29" i="21" s="1"/>
  <c r="O26" i="4" s="1"/>
  <c r="P26" i="4" s="1"/>
  <c r="O20" i="21"/>
  <c r="AD20" i="21" s="1"/>
  <c r="O17" i="4" s="1"/>
  <c r="P17" i="4" s="1"/>
  <c r="O15" i="21"/>
  <c r="AD15" i="21" s="1"/>
  <c r="O12" i="4" s="1"/>
  <c r="P12" i="4" s="1"/>
  <c r="O24" i="21"/>
  <c r="AD24" i="21" s="1"/>
  <c r="O21" i="4" s="1"/>
  <c r="P21" i="4" s="1"/>
  <c r="I13" i="14"/>
  <c r="L13" i="14"/>
  <c r="K13" i="14"/>
  <c r="O31" i="21"/>
  <c r="AD31" i="21" s="1"/>
  <c r="O28" i="4" s="1"/>
  <c r="P28" i="4" s="1"/>
  <c r="M18" i="11"/>
  <c r="I16" i="4" s="1"/>
  <c r="J16" i="4" s="1"/>
  <c r="L19" i="11"/>
  <c r="K19" i="11"/>
  <c r="H19" i="11"/>
  <c r="I20" i="11"/>
  <c r="J20" i="11"/>
  <c r="D20" i="17"/>
  <c r="K18" i="4" s="1"/>
  <c r="L18" i="4" s="1"/>
  <c r="O26" i="21" l="1"/>
  <c r="AD26" i="21" s="1"/>
  <c r="O23" i="4" s="1"/>
  <c r="P23" i="4" s="1"/>
  <c r="O18" i="21"/>
  <c r="AD18" i="21" s="1"/>
  <c r="O15" i="4" s="1"/>
  <c r="P15" i="4" s="1"/>
  <c r="K14" i="14"/>
  <c r="O12" i="21"/>
  <c r="M13" i="14"/>
  <c r="O28" i="21"/>
  <c r="AD28" i="21" s="1"/>
  <c r="O25" i="4" s="1"/>
  <c r="P25" i="4" s="1"/>
  <c r="O19" i="21"/>
  <c r="AD19" i="21" s="1"/>
  <c r="O16" i="4" s="1"/>
  <c r="P16" i="4" s="1"/>
  <c r="O23" i="21"/>
  <c r="AD23" i="21" s="1"/>
  <c r="O20" i="4" s="1"/>
  <c r="P20" i="4" s="1"/>
  <c r="H14" i="14"/>
  <c r="O25" i="21"/>
  <c r="AD25" i="21" s="1"/>
  <c r="O22" i="4" s="1"/>
  <c r="P22" i="4" s="1"/>
  <c r="O13" i="21"/>
  <c r="AD13" i="21" s="1"/>
  <c r="O10" i="4" s="1"/>
  <c r="P10" i="4" s="1"/>
  <c r="O16" i="21"/>
  <c r="AD16" i="21" s="1"/>
  <c r="O13" i="4" s="1"/>
  <c r="P13" i="4" s="1"/>
  <c r="L14" i="14"/>
  <c r="I14" i="14"/>
  <c r="O21" i="21"/>
  <c r="AD21" i="21" s="1"/>
  <c r="O18" i="4" s="1"/>
  <c r="P18" i="4" s="1"/>
  <c r="O30" i="21"/>
  <c r="AD30" i="21" s="1"/>
  <c r="O27" i="4" s="1"/>
  <c r="P27" i="4" s="1"/>
  <c r="O27" i="21"/>
  <c r="AD27" i="21" s="1"/>
  <c r="O24" i="4" s="1"/>
  <c r="P24" i="4" s="1"/>
  <c r="J14" i="14"/>
  <c r="O22" i="21"/>
  <c r="AD22" i="21" s="1"/>
  <c r="O19" i="4" s="1"/>
  <c r="P19" i="4" s="1"/>
  <c r="M19" i="11"/>
  <c r="I17" i="4" s="1"/>
  <c r="J17" i="4" s="1"/>
  <c r="L20" i="11"/>
  <c r="K20" i="11"/>
  <c r="I21" i="11"/>
  <c r="H20" i="11"/>
  <c r="J21" i="11"/>
  <c r="G25" i="9"/>
  <c r="F11" i="9"/>
  <c r="H25" i="9"/>
  <c r="D21" i="17"/>
  <c r="K19" i="4" s="1"/>
  <c r="L19" i="4" s="1"/>
  <c r="K15" i="14" l="1"/>
  <c r="J15" i="14"/>
  <c r="L15" i="14"/>
  <c r="G9" i="4"/>
  <c r="H9" i="4" s="1"/>
  <c r="H15" i="14"/>
  <c r="AD12" i="21"/>
  <c r="O32" i="21"/>
  <c r="O33" i="21"/>
  <c r="I15" i="14"/>
  <c r="M14" i="14"/>
  <c r="M20" i="11"/>
  <c r="I18" i="4" s="1"/>
  <c r="J18" i="4" s="1"/>
  <c r="L21" i="11"/>
  <c r="J22" i="11"/>
  <c r="H21" i="11"/>
  <c r="I22" i="11"/>
  <c r="K21" i="11"/>
  <c r="G26" i="9"/>
  <c r="F12" i="9"/>
  <c r="H26" i="9"/>
  <c r="D22" i="17"/>
  <c r="K20" i="4" s="1"/>
  <c r="L20" i="4" s="1"/>
  <c r="K16" i="14" l="1"/>
  <c r="H16" i="14"/>
  <c r="L16" i="14"/>
  <c r="O9" i="4"/>
  <c r="P9" i="4" s="1"/>
  <c r="AD32" i="21"/>
  <c r="AD33" i="21"/>
  <c r="M15" i="14"/>
  <c r="G10" i="4"/>
  <c r="H10" i="4" s="1"/>
  <c r="I16" i="14"/>
  <c r="J16" i="14"/>
  <c r="L22" i="11"/>
  <c r="K22" i="11"/>
  <c r="I23" i="11"/>
  <c r="M21" i="11"/>
  <c r="I19" i="4" s="1"/>
  <c r="J19" i="4" s="1"/>
  <c r="H22" i="11"/>
  <c r="J23" i="11"/>
  <c r="G27" i="9"/>
  <c r="H27" i="9"/>
  <c r="F13" i="9"/>
  <c r="D23" i="17"/>
  <c r="K21" i="4" s="1"/>
  <c r="L21" i="4" s="1"/>
  <c r="M16" i="14" l="1"/>
  <c r="H17" i="14"/>
  <c r="J17" i="14"/>
  <c r="G11" i="4"/>
  <c r="H11" i="4" s="1"/>
  <c r="I17" i="14"/>
  <c r="K17" i="14"/>
  <c r="L17" i="14"/>
  <c r="M22" i="11"/>
  <c r="I20" i="4" s="1"/>
  <c r="J20" i="4" s="1"/>
  <c r="L23" i="11"/>
  <c r="H23" i="11"/>
  <c r="K23" i="11"/>
  <c r="J24" i="11"/>
  <c r="I24" i="11"/>
  <c r="G28" i="9"/>
  <c r="H28" i="9"/>
  <c r="F14" i="9"/>
  <c r="D24" i="17"/>
  <c r="K22" i="4" s="1"/>
  <c r="L22" i="4" s="1"/>
  <c r="H18" i="14" l="1"/>
  <c r="M17" i="14"/>
  <c r="K18" i="14"/>
  <c r="I18" i="14"/>
  <c r="J18" i="14"/>
  <c r="G12" i="4"/>
  <c r="H12" i="4" s="1"/>
  <c r="L18" i="14"/>
  <c r="L24" i="11"/>
  <c r="I25" i="11"/>
  <c r="J25" i="11"/>
  <c r="K24" i="11"/>
  <c r="M23" i="11"/>
  <c r="I21" i="4" s="1"/>
  <c r="J21" i="4" s="1"/>
  <c r="H24" i="11"/>
  <c r="G30" i="9"/>
  <c r="G29" i="9"/>
  <c r="H30" i="9"/>
  <c r="H29" i="9"/>
  <c r="F15" i="9"/>
  <c r="D25" i="17"/>
  <c r="J19" i="14" l="1"/>
  <c r="H19" i="14"/>
  <c r="M18" i="14"/>
  <c r="K19" i="14"/>
  <c r="G13" i="4"/>
  <c r="H13" i="4" s="1"/>
  <c r="L19" i="14"/>
  <c r="I19" i="14"/>
  <c r="K23" i="4"/>
  <c r="L23" i="4" s="1"/>
  <c r="L25" i="11"/>
  <c r="K25" i="11"/>
  <c r="J26" i="11"/>
  <c r="H25" i="11"/>
  <c r="M24" i="11"/>
  <c r="I22" i="4" s="1"/>
  <c r="J22" i="4" s="1"/>
  <c r="I26" i="11"/>
  <c r="F16" i="9"/>
  <c r="D26" i="17"/>
  <c r="K24" i="4" s="1"/>
  <c r="L24" i="4" s="1"/>
  <c r="L20" i="14" l="1"/>
  <c r="M19" i="14"/>
  <c r="H20" i="14"/>
  <c r="J20" i="14"/>
  <c r="G14" i="4"/>
  <c r="H14" i="4" s="1"/>
  <c r="I20" i="14"/>
  <c r="K20" i="14"/>
  <c r="M25" i="11"/>
  <c r="I23" i="4" s="1"/>
  <c r="J23" i="4" s="1"/>
  <c r="L26" i="11"/>
  <c r="H26" i="11"/>
  <c r="K26" i="11"/>
  <c r="I27" i="11"/>
  <c r="J27" i="11"/>
  <c r="F17" i="9"/>
  <c r="D27" i="17"/>
  <c r="K25" i="4" s="1"/>
  <c r="L25" i="4" s="1"/>
  <c r="M20" i="14" l="1"/>
  <c r="G16" i="4" s="1"/>
  <c r="H16" i="4" s="1"/>
  <c r="K21" i="14"/>
  <c r="J21" i="14"/>
  <c r="H21" i="14"/>
  <c r="G15" i="4"/>
  <c r="H15" i="4" s="1"/>
  <c r="I21" i="14"/>
  <c r="L21" i="14"/>
  <c r="M26" i="11"/>
  <c r="I24" i="4" s="1"/>
  <c r="J24" i="4" s="1"/>
  <c r="L27" i="11"/>
  <c r="J28" i="11"/>
  <c r="I28" i="11"/>
  <c r="H27" i="11"/>
  <c r="K27" i="11"/>
  <c r="F18" i="9"/>
  <c r="D28" i="17"/>
  <c r="M21" i="14" l="1"/>
  <c r="G17" i="4" s="1"/>
  <c r="H17" i="4" s="1"/>
  <c r="H22" i="14"/>
  <c r="I22" i="14"/>
  <c r="J22" i="14"/>
  <c r="L22" i="14"/>
  <c r="K22" i="14"/>
  <c r="K26" i="4"/>
  <c r="L26" i="4" s="1"/>
  <c r="L28" i="11"/>
  <c r="J30" i="11"/>
  <c r="J29" i="11"/>
  <c r="K28" i="11"/>
  <c r="M27" i="11"/>
  <c r="I25" i="4" s="1"/>
  <c r="J25" i="4" s="1"/>
  <c r="H28" i="11"/>
  <c r="I30" i="11"/>
  <c r="I29" i="11"/>
  <c r="F19" i="9"/>
  <c r="D29" i="17"/>
  <c r="K27" i="4" s="1"/>
  <c r="L27" i="4" s="1"/>
  <c r="J23" i="14" l="1"/>
  <c r="H23" i="14"/>
  <c r="M22" i="14"/>
  <c r="I23" i="14"/>
  <c r="K23" i="14"/>
  <c r="L23" i="14"/>
  <c r="M28" i="11"/>
  <c r="I26" i="4" s="1"/>
  <c r="J26" i="4" s="1"/>
  <c r="L30" i="11"/>
  <c r="L29" i="11"/>
  <c r="I31" i="11"/>
  <c r="I32" i="11"/>
  <c r="H30" i="11"/>
  <c r="H29" i="11"/>
  <c r="K30" i="11"/>
  <c r="K29" i="11"/>
  <c r="J31" i="11"/>
  <c r="J32" i="11"/>
  <c r="F20" i="9"/>
  <c r="D30" i="17"/>
  <c r="K24" i="14" l="1"/>
  <c r="I24" i="14"/>
  <c r="M23" i="14"/>
  <c r="G18" i="4"/>
  <c r="H18" i="4" s="1"/>
  <c r="L24" i="14"/>
  <c r="H24" i="14"/>
  <c r="J24" i="14"/>
  <c r="K28" i="4"/>
  <c r="L28" i="4" s="1"/>
  <c r="D32" i="17"/>
  <c r="D31" i="17"/>
  <c r="L32" i="11"/>
  <c r="L31" i="11"/>
  <c r="M29" i="11"/>
  <c r="I27" i="4" s="1"/>
  <c r="J27" i="4" s="1"/>
  <c r="M30" i="11"/>
  <c r="H32" i="11"/>
  <c r="H31" i="11"/>
  <c r="K31" i="11"/>
  <c r="K32" i="11"/>
  <c r="F21" i="9"/>
  <c r="L29" i="4" l="1"/>
  <c r="I25" i="14"/>
  <c r="M24" i="14"/>
  <c r="J25" i="14"/>
  <c r="H25" i="14"/>
  <c r="G19" i="4"/>
  <c r="H19" i="4" s="1"/>
  <c r="L25" i="14"/>
  <c r="K25" i="14"/>
  <c r="I28" i="4"/>
  <c r="J28" i="4" s="1"/>
  <c r="J29" i="4" s="1"/>
  <c r="M32" i="11"/>
  <c r="M31" i="11"/>
  <c r="F22" i="9"/>
  <c r="M25" i="14" l="1"/>
  <c r="G21" i="4"/>
  <c r="H21" i="4" s="1"/>
  <c r="J26" i="14"/>
  <c r="G20" i="4"/>
  <c r="H20" i="4" s="1"/>
  <c r="K26" i="14"/>
  <c r="L26" i="14"/>
  <c r="I26" i="14"/>
  <c r="H26" i="14"/>
  <c r="F23" i="9"/>
  <c r="M26" i="14" l="1"/>
  <c r="G22" i="4" s="1"/>
  <c r="H22" i="4" s="1"/>
  <c r="J27" i="14"/>
  <c r="K27" i="14"/>
  <c r="H27" i="14"/>
  <c r="I27" i="14"/>
  <c r="L27" i="14"/>
  <c r="F24" i="9"/>
  <c r="M27" i="14" l="1"/>
  <c r="G23" i="4" s="1"/>
  <c r="H23" i="4" s="1"/>
  <c r="L28" i="14"/>
  <c r="H28" i="14"/>
  <c r="J28" i="14"/>
  <c r="K28" i="14"/>
  <c r="I28" i="14"/>
  <c r="F25" i="9"/>
  <c r="I25" i="9" s="1"/>
  <c r="H29" i="14" l="1"/>
  <c r="J29" i="14"/>
  <c r="I29" i="14"/>
  <c r="M28" i="14"/>
  <c r="K29" i="14"/>
  <c r="L29" i="14"/>
  <c r="E23" i="4"/>
  <c r="F26" i="9"/>
  <c r="I26" i="9" s="1"/>
  <c r="G24" i="4" l="1"/>
  <c r="H24" i="4" s="1"/>
  <c r="I30" i="14"/>
  <c r="L30" i="14"/>
  <c r="H30" i="14"/>
  <c r="K30" i="14"/>
  <c r="J30" i="14"/>
  <c r="M29" i="14"/>
  <c r="E24" i="4"/>
  <c r="F27" i="9"/>
  <c r="I27" i="9" s="1"/>
  <c r="F23" i="4"/>
  <c r="G11" i="9"/>
  <c r="G12" i="9"/>
  <c r="G13" i="9"/>
  <c r="G14" i="9"/>
  <c r="G15" i="9"/>
  <c r="G16" i="9"/>
  <c r="G17" i="9"/>
  <c r="G18" i="9"/>
  <c r="G19" i="9"/>
  <c r="G20" i="9"/>
  <c r="G21" i="9"/>
  <c r="G22" i="9"/>
  <c r="G23" i="9"/>
  <c r="G24" i="9"/>
  <c r="H11" i="9"/>
  <c r="H12" i="9"/>
  <c r="H13" i="9"/>
  <c r="H14" i="9"/>
  <c r="H15" i="9"/>
  <c r="H16" i="9"/>
  <c r="H17" i="9"/>
  <c r="H18" i="9"/>
  <c r="H19" i="9"/>
  <c r="H20" i="9"/>
  <c r="H21" i="9"/>
  <c r="H22" i="9"/>
  <c r="H23" i="9"/>
  <c r="H24" i="9"/>
  <c r="M30" i="14" l="1"/>
  <c r="G26" i="4" s="1"/>
  <c r="H26" i="4" s="1"/>
  <c r="Q23" i="4"/>
  <c r="L31" i="14"/>
  <c r="L32" i="14"/>
  <c r="G25" i="4"/>
  <c r="H25" i="4" s="1"/>
  <c r="J31" i="14"/>
  <c r="J32" i="14"/>
  <c r="H31" i="9"/>
  <c r="H32" i="9"/>
  <c r="I32" i="14"/>
  <c r="I31" i="14"/>
  <c r="I19" i="9"/>
  <c r="E17" i="4" s="1"/>
  <c r="G31" i="9"/>
  <c r="G32" i="9"/>
  <c r="H32" i="14"/>
  <c r="H31" i="14"/>
  <c r="K32" i="14"/>
  <c r="K31" i="14"/>
  <c r="I22" i="9"/>
  <c r="E20" i="4" s="1"/>
  <c r="I14" i="9"/>
  <c r="E12" i="4" s="1"/>
  <c r="I23" i="9"/>
  <c r="E21" i="4" s="1"/>
  <c r="I15" i="9"/>
  <c r="E13" i="4" s="1"/>
  <c r="I21" i="9"/>
  <c r="I13" i="9"/>
  <c r="F28" i="9"/>
  <c r="I28" i="9" s="1"/>
  <c r="E25" i="4"/>
  <c r="F24" i="4"/>
  <c r="I18" i="9"/>
  <c r="I20" i="9"/>
  <c r="I12" i="9"/>
  <c r="I17" i="9"/>
  <c r="I24" i="9"/>
  <c r="I16" i="9"/>
  <c r="I11" i="9"/>
  <c r="Q24" i="4" l="1"/>
  <c r="J34" i="14"/>
  <c r="J33" i="14"/>
  <c r="K33" i="14"/>
  <c r="K34" i="14"/>
  <c r="L34" i="14"/>
  <c r="L33" i="14"/>
  <c r="E9" i="4"/>
  <c r="F9" i="4" s="1"/>
  <c r="M31" i="14"/>
  <c r="I34" i="14"/>
  <c r="I33" i="14"/>
  <c r="H34" i="14"/>
  <c r="H33" i="14"/>
  <c r="M32" i="14"/>
  <c r="E26" i="4"/>
  <c r="E10" i="4"/>
  <c r="F25" i="4"/>
  <c r="E19" i="4"/>
  <c r="E22" i="4"/>
  <c r="E15" i="4"/>
  <c r="F20" i="4"/>
  <c r="F13" i="4"/>
  <c r="F21" i="4"/>
  <c r="F30" i="9"/>
  <c r="F29" i="9"/>
  <c r="I29" i="9" s="1"/>
  <c r="E11" i="4"/>
  <c r="E18" i="4"/>
  <c r="E16" i="4"/>
  <c r="E14" i="4"/>
  <c r="F17" i="4"/>
  <c r="F12" i="4"/>
  <c r="Q21" i="4" l="1"/>
  <c r="Q20" i="4"/>
  <c r="Q13" i="4"/>
  <c r="Q25" i="4"/>
  <c r="Q12" i="4"/>
  <c r="Q17" i="4"/>
  <c r="Q9" i="4"/>
  <c r="G27" i="4"/>
  <c r="H27" i="4" s="1"/>
  <c r="G28" i="4"/>
  <c r="H28" i="4" s="1"/>
  <c r="M33" i="14"/>
  <c r="M34" i="14"/>
  <c r="F31" i="9"/>
  <c r="F32" i="9"/>
  <c r="F19" i="4"/>
  <c r="F18" i="4"/>
  <c r="F15" i="4"/>
  <c r="F11" i="4"/>
  <c r="F16" i="4"/>
  <c r="F10" i="4"/>
  <c r="E27" i="4"/>
  <c r="F22" i="4"/>
  <c r="F14" i="4"/>
  <c r="I30" i="9"/>
  <c r="I31" i="9" s="1"/>
  <c r="F26" i="4"/>
  <c r="Q26" i="4" l="1"/>
  <c r="Q14" i="4"/>
  <c r="Q22" i="4"/>
  <c r="Q11" i="4"/>
  <c r="Q18" i="4"/>
  <c r="Q19" i="4"/>
  <c r="Q15" i="4"/>
  <c r="Q10" i="4"/>
  <c r="Q16" i="4"/>
  <c r="H29" i="4"/>
  <c r="I32" i="9"/>
  <c r="E28" i="4"/>
  <c r="F27" i="4"/>
  <c r="Q27" i="4" l="1"/>
  <c r="F28" i="4"/>
  <c r="Q28" i="4" l="1"/>
  <c r="Q29" i="4" s="1"/>
  <c r="F29" i="4"/>
  <c r="Q30" i="4" l="1"/>
</calcChain>
</file>

<file path=xl/sharedStrings.xml><?xml version="1.0" encoding="utf-8"?>
<sst xmlns="http://schemas.openxmlformats.org/spreadsheetml/2006/main" count="1400" uniqueCount="496">
  <si>
    <t>Year</t>
  </si>
  <si>
    <t>Source:</t>
  </si>
  <si>
    <t>O - No Injury</t>
  </si>
  <si>
    <t>C - Possible Injury</t>
  </si>
  <si>
    <t>A - Incapacitating</t>
  </si>
  <si>
    <t>K - Killed</t>
  </si>
  <si>
    <t>Calendar Year</t>
  </si>
  <si>
    <t>Project Year</t>
  </si>
  <si>
    <t>Operation and Maintenance Costs Savings ($2016)</t>
  </si>
  <si>
    <t>Current Status/Baseline &amp; Problem to be Addressed</t>
  </si>
  <si>
    <t>Type of Impacts</t>
  </si>
  <si>
    <t>Population Affected by Impacts</t>
  </si>
  <si>
    <t>Emission type</t>
  </si>
  <si>
    <t>VOCs</t>
  </si>
  <si>
    <t>NOx</t>
  </si>
  <si>
    <t>PM</t>
  </si>
  <si>
    <t>SOx</t>
  </si>
  <si>
    <t>$/metric ton ($2016)</t>
  </si>
  <si>
    <t>Category</t>
  </si>
  <si>
    <t>Personal</t>
  </si>
  <si>
    <t>Business</t>
  </si>
  <si>
    <t>All Purposes</t>
  </si>
  <si>
    <t>$2016 per Person-hour</t>
  </si>
  <si>
    <t>Truck Drivers</t>
  </si>
  <si>
    <t>Bus Drivers</t>
  </si>
  <si>
    <t>Aproach</t>
  </si>
  <si>
    <t>NB</t>
  </si>
  <si>
    <t>SB</t>
  </si>
  <si>
    <t>Percent Bus</t>
  </si>
  <si>
    <t>Percent Truck</t>
  </si>
  <si>
    <t>AM Peak Existing - Average Travel Time per Vehicle (second)</t>
  </si>
  <si>
    <t>AM Peak Proposed - Average Travel Time per Vehicle (second)</t>
  </si>
  <si>
    <t>PM Peak Existing - Average Travel Time per Vehicle (second)</t>
  </si>
  <si>
    <t>PM Peak Proposed - Average Travel Time per Vehicle (second)</t>
  </si>
  <si>
    <t>OFF Peak Existing - Average Travel Time per Vehicle (second)</t>
  </si>
  <si>
    <t>OFF Peak Proposed - Average Travel Time per Vehicle (second)</t>
  </si>
  <si>
    <t>TOTAL Travel Time Savings for All Purpose (hr/year)</t>
  </si>
  <si>
    <t>TRAVEL TIME SAVINGS - Calculations</t>
  </si>
  <si>
    <t>Note:</t>
  </si>
  <si>
    <t>TOTAL TRAVEL TIME SAVINGS</t>
  </si>
  <si>
    <t>TOTAL Travel Time Savings for Buses (hr/year)</t>
  </si>
  <si>
    <t>TOTAL Travel Time Savings for Trucks (hr/year)</t>
  </si>
  <si>
    <t>Average</t>
  </si>
  <si>
    <t>Total</t>
  </si>
  <si>
    <t>Average Daily Traffic</t>
  </si>
  <si>
    <t>Average  Daily Traffic</t>
  </si>
  <si>
    <t>Segment Legth (mi)</t>
  </si>
  <si>
    <t>Avg. Speed per Veh (mph)</t>
  </si>
  <si>
    <t>VOC</t>
  </si>
  <si>
    <t>CO</t>
  </si>
  <si>
    <t>OFF Peak - Existing</t>
  </si>
  <si>
    <t>OFF Peak - Proposed</t>
  </si>
  <si>
    <t>PM Peak - Existing</t>
  </si>
  <si>
    <t>AM Peak - Existing</t>
  </si>
  <si>
    <t>AM Peak - Proposed</t>
  </si>
  <si>
    <t>PM Peak - Proposed</t>
  </si>
  <si>
    <t>Equivalency Factors (g/mi)</t>
  </si>
  <si>
    <t>Where,</t>
  </si>
  <si>
    <t>Emission for segment i</t>
  </si>
  <si>
    <t>Proportion of travel of segment I in peak period n (off peak is 1-sum of P)</t>
  </si>
  <si>
    <t>Emission Factor after implemention for segment i</t>
  </si>
  <si>
    <t>Emission Factor before implemention for segment i</t>
  </si>
  <si>
    <t>CO Savings (metric ton/yr)</t>
  </si>
  <si>
    <t>$/metric ton ($1989)*</t>
  </si>
  <si>
    <t>*Average cost of 18 regions in the US for 1989</t>
  </si>
  <si>
    <t>TOTALS</t>
  </si>
  <si>
    <t>2. Savings are based on 2016$</t>
  </si>
  <si>
    <t>1. Average Daily Traffic, Percent Bus, Percent Truck -- Kimley-Horn of Michigan, Inc. 2015 Traffic Data Collection by Intersection.</t>
  </si>
  <si>
    <t>1. Average vehicle travel times for each time period of the day (i.e. AM, PM, Off peak) are calculated using Synchro and Sim Traffic for Existing conditions and Proposed conditions in the subject corridor</t>
  </si>
  <si>
    <t>4. Positive (+) values represent reductions in travel time; Negative (-) values represent increases in travel time</t>
  </si>
  <si>
    <t>1. Average Daily Traffic -- Kimley-Horn of Michigan, Inc. 2015 Traffic Data Collection by Intersection.</t>
  </si>
  <si>
    <t>2. Average Vehicle Speed, Segment Length -- Synchro &amp; Simtraffic simulation models for 2015 Traffic Data</t>
  </si>
  <si>
    <t>1. Average vehicle speeds for each time period of the day (i.e. AM, PM, Off peak) are calculated using Synchro and Sim Traffic for Existing conditions and Proposed conditions in the subject corridor</t>
  </si>
  <si>
    <t>6. Equivalency factors represent are based for All Vehicles and assuming a 20 year project life</t>
  </si>
  <si>
    <t>2. Average Vehicle Traveled Distance -- Synchro &amp; Simtraffic simulation models for 2015 Traffic Data</t>
  </si>
  <si>
    <t>4. Positive (+) values represent reductions in CO2; Negative (-) values represent increases in CO2</t>
  </si>
  <si>
    <t>INFLATION ADJUSTMENT VALUES</t>
  </si>
  <si>
    <t>Base Year of Nominal Dollar</t>
  </si>
  <si>
    <t>Multiplier to Adjust to Real $2016</t>
  </si>
  <si>
    <t>Bureau of Economic Analysis, National Income and Product Accounts, Table 1.1.9, "Implicit Price Deflators for Gross Domestic Product" (March 2016)</t>
  </si>
  <si>
    <t xml:space="preserve">http://www.bea.gov/iTable/iTable.cfm?ReqID=9&amp;step=1 </t>
  </si>
  <si>
    <t>KABCO LEVEL VALUES</t>
  </si>
  <si>
    <t>KABCO Level</t>
  </si>
  <si>
    <t>B - Non Incapacitating Injury</t>
  </si>
  <si>
    <t>U - Injured (Severity Unknown)</t>
  </si>
  <si>
    <t># Accidents Reported (Unknown if Injured)</t>
  </si>
  <si>
    <t>Guidance on Treatment of the Economic Value of a Statistical Life in U.S. Department of Transportation Analysis (2016)</t>
  </si>
  <si>
    <t>https://www.transportation.gov/office-policy/transportation-policy/revised-departmental-guidance-on-valuation-of-a-statistical-life-in-economic-analysis</t>
  </si>
  <si>
    <t>Note: Michigan State Police UD-10 Forms use KABCO scale for reporting crashes</t>
  </si>
  <si>
    <t>$/short ton ($2016)</t>
  </si>
  <si>
    <t>Corporate Average Fuel Economy For MY2017-2025 Passenger Cars and Light Trucks (August 2012), page 992, Table VIII-16, "Economic Values Used for Benefits Computations (2010 dollars)</t>
  </si>
  <si>
    <t xml:space="preserve">http://www.nhtsa.gov/staticfiles/rulemaking/pdf/cafe/FRIA_2017-2025.pdf </t>
  </si>
  <si>
    <t>Commercial Vehicle Operators</t>
  </si>
  <si>
    <t>Private Vehicle Travel</t>
  </si>
  <si>
    <t xml:space="preserve">https://www.transportation.gov/office-policy/transportation-policy/revised-departmental-guidance-valuation-travel-time-economic </t>
  </si>
  <si>
    <t>VALUE OF TRAVEL TIME SAVINGS</t>
  </si>
  <si>
    <t>AVERAGE VEHICLE OCCUPANCY</t>
  </si>
  <si>
    <t>Vehicle Type</t>
  </si>
  <si>
    <t>Occupancy</t>
  </si>
  <si>
    <t>Passenger Vehicles</t>
  </si>
  <si>
    <t>Trucks</t>
  </si>
  <si>
    <t>Federal Highway Administration Highway Statistics 2015, Table VM1</t>
  </si>
  <si>
    <r>
      <t xml:space="preserve">4. Emission Estimations - Michigan Department of Transportation (MDOT) &amp; South Eastern Michigan Council of Govenrments (SEMCOG). Emissions from Freeway and Arterial Travel. </t>
    </r>
    <r>
      <rPr>
        <i/>
        <u/>
        <sz val="11"/>
        <color theme="4" tint="-0.249977111117893"/>
        <rFont val="Calibri"/>
        <family val="2"/>
        <scheme val="minor"/>
      </rPr>
      <t>http://www.michigan.gov/mdot/0,4616,7-151-9621_11041_60661---,00.html</t>
    </r>
  </si>
  <si>
    <t>2. Average Vehicle Travel Times -- Synchro &amp; Simtraffic simulation models for corresponding 2015 Traffic Data</t>
  </si>
  <si>
    <t>2. Based on 2015 Traffic Data  by Kimley-Horn of Michigan, Inc., Peak volume (i.e. AM, PM) applys to 35% of the Average Daily Traffic; 15% for AM peak and 20% for PM peak</t>
  </si>
  <si>
    <r>
      <rPr>
        <i/>
        <sz val="9"/>
        <color theme="1"/>
        <rFont val="Calibri"/>
        <family val="2"/>
        <scheme val="minor"/>
      </rPr>
      <t>(Beg Construction)</t>
    </r>
    <r>
      <rPr>
        <sz val="11"/>
        <color theme="1"/>
        <rFont val="Calibri"/>
        <family val="2"/>
        <scheme val="minor"/>
      </rPr>
      <t>2020</t>
    </r>
  </si>
  <si>
    <r>
      <rPr>
        <i/>
        <sz val="9"/>
        <color theme="1"/>
        <rFont val="Calibri"/>
        <family val="2"/>
        <scheme val="minor"/>
      </rPr>
      <t xml:space="preserve">(End Construction) </t>
    </r>
    <r>
      <rPr>
        <sz val="11"/>
        <color theme="1"/>
        <rFont val="Calibri"/>
        <family val="2"/>
        <scheme val="minor"/>
      </rPr>
      <t>2022</t>
    </r>
  </si>
  <si>
    <r>
      <rPr>
        <i/>
        <sz val="9"/>
        <color theme="1"/>
        <rFont val="Calibri"/>
        <family val="2"/>
        <scheme val="minor"/>
      </rPr>
      <t xml:space="preserve">(Beg Construction) </t>
    </r>
    <r>
      <rPr>
        <sz val="11"/>
        <color theme="1"/>
        <rFont val="Calibri"/>
        <family val="2"/>
        <scheme val="minor"/>
      </rPr>
      <t>2020</t>
    </r>
  </si>
  <si>
    <r>
      <rPr>
        <i/>
        <sz val="9"/>
        <color theme="1"/>
        <rFont val="Calibri"/>
        <family val="2"/>
        <scheme val="minor"/>
      </rPr>
      <t>(End Construction)</t>
    </r>
    <r>
      <rPr>
        <sz val="11"/>
        <color theme="1"/>
        <rFont val="Calibri"/>
        <family val="2"/>
        <scheme val="minor"/>
      </rPr>
      <t xml:space="preserve"> 2022</t>
    </r>
  </si>
  <si>
    <t>na</t>
  </si>
  <si>
    <t>Construction</t>
  </si>
  <si>
    <t>Value of Travel  Time Savings ($2016)</t>
  </si>
  <si>
    <t>Discounted Travel Time Savings at 7%</t>
  </si>
  <si>
    <t>Discounted Construction Costs at 7%</t>
  </si>
  <si>
    <t>1. Base year is assumed as 2016 per INFRA BCA Guidelines</t>
  </si>
  <si>
    <t xml:space="preserve">2. Assumes construction begins in 2020 and ends in 2022.  </t>
  </si>
  <si>
    <t>Safety Benefits ($2016)</t>
  </si>
  <si>
    <t>Discounted Safety Benefits  at 7%</t>
  </si>
  <si>
    <t>4. Assumes no new additional users. All users are existing regardless of whether the proposal is built or not.</t>
  </si>
  <si>
    <t>Monetized Value ($2016)</t>
  </si>
  <si>
    <t>Property Damage Only (PDO) Crashes ($2016)</t>
  </si>
  <si>
    <t xml:space="preserve"> CMF ID</t>
  </si>
  <si>
    <t>Name</t>
  </si>
  <si>
    <t>CMF</t>
  </si>
  <si>
    <t>Crash Type</t>
  </si>
  <si>
    <t>Crash Severity</t>
  </si>
  <si>
    <t>Time of Day</t>
  </si>
  <si>
    <t>Install signs to conform to MUTCD</t>
  </si>
  <si>
    <t>Source</t>
  </si>
  <si>
    <t>All</t>
  </si>
  <si>
    <t>Area Type</t>
  </si>
  <si>
    <t>Urban</t>
  </si>
  <si>
    <t xml:space="preserve">http://www.cmfclearinghouse.org/detail.cfm?facid=62 </t>
  </si>
  <si>
    <t>PDO</t>
  </si>
  <si>
    <t xml:space="preserve">http://www.cmfclearinghouse.org/detail.cfm?facid=63 </t>
  </si>
  <si>
    <t>Increased pavement friction</t>
  </si>
  <si>
    <t xml:space="preserve">http://www.cmfclearinghouse.org/detail.cfm?facid=194 </t>
  </si>
  <si>
    <t>Rear End</t>
  </si>
  <si>
    <t xml:space="preserve">http://www.cmfclearinghouse.org/detail.cfm?facid=197 </t>
  </si>
  <si>
    <t>Single Vehicle</t>
  </si>
  <si>
    <t>http://www.cmfclearinghouse.org/detail.cfm?facid=198</t>
  </si>
  <si>
    <t>Add 3-inch yellow retroreflective sheeting to signal backplates</t>
  </si>
  <si>
    <t>Change no. of lanes on major road of a 4-leg signalized intersection from X to Y</t>
  </si>
  <si>
    <t>Motorcycle Crashes</t>
  </si>
  <si>
    <t xml:space="preserve">http://www.cmfclearinghouse.org/detail.cfm?facid=2950 </t>
  </si>
  <si>
    <t>Install high-visibility crosswalk</t>
  </si>
  <si>
    <t xml:space="preserve">http://www.cmfclearinghouse.org/detail.cfm?facid=4123 </t>
  </si>
  <si>
    <t>Add signal (additional primary head)</t>
  </si>
  <si>
    <t>Signalized Intersection</t>
  </si>
  <si>
    <t>Urban Signalized Intersection</t>
  </si>
  <si>
    <t xml:space="preserve">http://www.cmfclearinghouse.org/detail.cfm?facid=1413 </t>
  </si>
  <si>
    <t>Angle</t>
  </si>
  <si>
    <t xml:space="preserve">http://www.cmfclearinghouse.org/detail.cfm?facid=1418 </t>
  </si>
  <si>
    <t>Signal Optimization &amp; Timing Updates</t>
  </si>
  <si>
    <t xml:space="preserve">https://www.michigan.gov/documents/mdot/mdot_Crash_Reduction_Factors_303744_7.pdf </t>
  </si>
  <si>
    <t>Ped. Countdown Signals - Upgrade from existing signal</t>
  </si>
  <si>
    <t>Pedestrian</t>
  </si>
  <si>
    <t xml:space="preserve">http://www.cmfclearinghouse.org/detail.cfm?facid=1410 </t>
  </si>
  <si>
    <t>Angle, Rear-End</t>
  </si>
  <si>
    <t>Intersection</t>
  </si>
  <si>
    <t>Signing and Pavement Markings - Improve/Upgrade</t>
  </si>
  <si>
    <t>Head-On, Pedestrian</t>
  </si>
  <si>
    <t>Install pedestrian overpass/underpass</t>
  </si>
  <si>
    <t xml:space="preserve">http://www.cmfclearinghouse.org/detail.cfm?facid=1802 </t>
  </si>
  <si>
    <t xml:space="preserve">                                                            </t>
  </si>
  <si>
    <t>Injury</t>
  </si>
  <si>
    <t>Urban Intersection</t>
  </si>
  <si>
    <t>Recessed Durable Pavement Markings</t>
  </si>
  <si>
    <t>Improve lighting</t>
  </si>
  <si>
    <t xml:space="preserve">http://www.cmfclearinghouse.org/detail.cfm?facid=1263 </t>
  </si>
  <si>
    <t>1. 2011 - 2015 crashes for the subject corridor are obtained from the Transportation improvement Association (TIA) TCAT database</t>
  </si>
  <si>
    <t>CMF for combined treatments</t>
  </si>
  <si>
    <r>
      <t>Applicable Crash Category</t>
    </r>
    <r>
      <rPr>
        <i/>
        <sz val="9"/>
        <rFont val="Calibri"/>
        <family val="2"/>
        <scheme val="minor"/>
      </rPr>
      <t xml:space="preserve"> (based on proposed safety treatment)</t>
    </r>
  </si>
  <si>
    <t>All Crashes</t>
  </si>
  <si>
    <t>Motorcycle Crashes @ 3-Lane Section</t>
  </si>
  <si>
    <t>O</t>
  </si>
  <si>
    <t>C</t>
  </si>
  <si>
    <t>B</t>
  </si>
  <si>
    <t>A</t>
  </si>
  <si>
    <t>K</t>
  </si>
  <si>
    <t>No Injury</t>
  </si>
  <si>
    <t>Possible Injury</t>
  </si>
  <si>
    <t>Incapacitating</t>
  </si>
  <si>
    <t>Killed</t>
  </si>
  <si>
    <t>(No Injury)</t>
  </si>
  <si>
    <t>(Possible Injury)</t>
  </si>
  <si>
    <t>(Non Incapacitating)</t>
  </si>
  <si>
    <t>(Incapacitating)</t>
  </si>
  <si>
    <t>(Killed)</t>
  </si>
  <si>
    <t>SAFETY BENEFITS - Calculations</t>
  </si>
  <si>
    <t>Applicable CMFs</t>
  </si>
  <si>
    <r>
      <t>2011-2015 Crashes</t>
    </r>
    <r>
      <rPr>
        <b/>
        <vertAlign val="superscript"/>
        <sz val="11"/>
        <rFont val="Calibri"/>
        <family val="2"/>
        <scheme val="minor"/>
      </rPr>
      <t>3</t>
    </r>
  </si>
  <si>
    <r>
      <t>Annualized Crashes</t>
    </r>
    <r>
      <rPr>
        <b/>
        <vertAlign val="superscript"/>
        <sz val="11"/>
        <rFont val="Calibri"/>
        <family val="2"/>
        <scheme val="minor"/>
      </rPr>
      <t>3</t>
    </r>
  </si>
  <si>
    <t>Nighttime</t>
  </si>
  <si>
    <t>MDOT-1</t>
  </si>
  <si>
    <t>MDOT-2</t>
  </si>
  <si>
    <t>MDOT-3</t>
  </si>
  <si>
    <t>MDOT-4</t>
  </si>
  <si>
    <t>MDOT-5</t>
  </si>
  <si>
    <t>Segment</t>
  </si>
  <si>
    <t>Daytime</t>
  </si>
  <si>
    <t>Pedestrian Crashes @ Proposed Ped Bridge Locations</t>
  </si>
  <si>
    <t>All Other</t>
  </si>
  <si>
    <t>Head-On</t>
  </si>
  <si>
    <t>Pedestrian Involved</t>
  </si>
  <si>
    <t xml:space="preserve"> Motorcycle Crashes @ 3-Lane Section</t>
  </si>
  <si>
    <r>
      <t>CMF</t>
    </r>
    <r>
      <rPr>
        <b/>
        <vertAlign val="subscript"/>
        <sz val="11"/>
        <rFont val="Calibri"/>
        <family val="2"/>
        <scheme val="minor"/>
      </rPr>
      <t>1</t>
    </r>
  </si>
  <si>
    <r>
      <t>CMF</t>
    </r>
    <r>
      <rPr>
        <b/>
        <vertAlign val="subscript"/>
        <sz val="11"/>
        <rFont val="Calibri"/>
        <family val="2"/>
        <scheme val="minor"/>
      </rPr>
      <t>2</t>
    </r>
  </si>
  <si>
    <r>
      <t>CMF</t>
    </r>
    <r>
      <rPr>
        <b/>
        <vertAlign val="subscript"/>
        <sz val="11"/>
        <rFont val="Calibri"/>
        <family val="2"/>
        <scheme val="minor"/>
      </rPr>
      <t>3</t>
    </r>
    <r>
      <rPr>
        <sz val="11"/>
        <color theme="1"/>
        <rFont val="Calibri"/>
        <family val="2"/>
        <scheme val="minor"/>
      </rPr>
      <t/>
    </r>
  </si>
  <si>
    <r>
      <t>CMF</t>
    </r>
    <r>
      <rPr>
        <b/>
        <vertAlign val="subscript"/>
        <sz val="11"/>
        <rFont val="Calibri"/>
        <family val="2"/>
        <scheme val="minor"/>
      </rPr>
      <t>4</t>
    </r>
    <r>
      <rPr>
        <sz val="11"/>
        <color theme="1"/>
        <rFont val="Calibri"/>
        <family val="2"/>
        <scheme val="minor"/>
      </rPr>
      <t/>
    </r>
  </si>
  <si>
    <r>
      <t>CMF</t>
    </r>
    <r>
      <rPr>
        <b/>
        <vertAlign val="subscript"/>
        <sz val="11"/>
        <rFont val="Calibri"/>
        <family val="2"/>
        <scheme val="minor"/>
      </rPr>
      <t>5</t>
    </r>
    <r>
      <rPr>
        <sz val="11"/>
        <color theme="1"/>
        <rFont val="Calibri"/>
        <family val="2"/>
        <scheme val="minor"/>
      </rPr>
      <t/>
    </r>
  </si>
  <si>
    <r>
      <t>CMF</t>
    </r>
    <r>
      <rPr>
        <b/>
        <vertAlign val="subscript"/>
        <sz val="11"/>
        <rFont val="Calibri"/>
        <family val="2"/>
        <scheme val="minor"/>
      </rPr>
      <t>6</t>
    </r>
    <r>
      <rPr>
        <sz val="11"/>
        <color theme="1"/>
        <rFont val="Calibri"/>
        <family val="2"/>
        <scheme val="minor"/>
      </rPr>
      <t/>
    </r>
  </si>
  <si>
    <r>
      <t>CMF</t>
    </r>
    <r>
      <rPr>
        <b/>
        <vertAlign val="subscript"/>
        <sz val="11"/>
        <rFont val="Calibri"/>
        <family val="2"/>
        <scheme val="minor"/>
      </rPr>
      <t>7</t>
    </r>
    <r>
      <rPr>
        <sz val="11"/>
        <color theme="1"/>
        <rFont val="Calibri"/>
        <family val="2"/>
        <scheme val="minor"/>
      </rPr>
      <t/>
    </r>
  </si>
  <si>
    <r>
      <t>CMF</t>
    </r>
    <r>
      <rPr>
        <b/>
        <vertAlign val="subscript"/>
        <sz val="11"/>
        <rFont val="Calibri"/>
        <family val="2"/>
        <scheme val="minor"/>
      </rPr>
      <t>8</t>
    </r>
    <r>
      <rPr>
        <sz val="11"/>
        <color theme="1"/>
        <rFont val="Calibri"/>
        <family val="2"/>
        <scheme val="minor"/>
      </rPr>
      <t/>
    </r>
  </si>
  <si>
    <r>
      <t>CMF</t>
    </r>
    <r>
      <rPr>
        <b/>
        <vertAlign val="subscript"/>
        <sz val="11"/>
        <rFont val="Calibri"/>
        <family val="2"/>
        <scheme val="minor"/>
      </rPr>
      <t>9</t>
    </r>
    <r>
      <rPr>
        <sz val="11"/>
        <color theme="1"/>
        <rFont val="Calibri"/>
        <family val="2"/>
        <scheme val="minor"/>
      </rPr>
      <t/>
    </r>
  </si>
  <si>
    <r>
      <t>CMF</t>
    </r>
    <r>
      <rPr>
        <b/>
        <vertAlign val="subscript"/>
        <sz val="11"/>
        <rFont val="Calibri"/>
        <family val="2"/>
        <scheme val="minor"/>
      </rPr>
      <t>10</t>
    </r>
    <r>
      <rPr>
        <sz val="11"/>
        <color theme="1"/>
        <rFont val="Calibri"/>
        <family val="2"/>
        <scheme val="minor"/>
      </rPr>
      <t/>
    </r>
  </si>
  <si>
    <t>CMFt</t>
  </si>
  <si>
    <r>
      <t xml:space="preserve">O </t>
    </r>
    <r>
      <rPr>
        <i/>
        <sz val="9"/>
        <rFont val="Calibri"/>
        <family val="2"/>
        <scheme val="minor"/>
      </rPr>
      <t>(No Injury)</t>
    </r>
  </si>
  <si>
    <r>
      <t xml:space="preserve">C </t>
    </r>
    <r>
      <rPr>
        <i/>
        <sz val="9"/>
        <rFont val="Calibri"/>
        <family val="2"/>
        <scheme val="minor"/>
      </rPr>
      <t>(Possible Injury)</t>
    </r>
  </si>
  <si>
    <r>
      <t xml:space="preserve">B </t>
    </r>
    <r>
      <rPr>
        <i/>
        <sz val="9"/>
        <rFont val="Calibri"/>
        <family val="2"/>
        <scheme val="minor"/>
      </rPr>
      <t>(Not Incapacitating)</t>
    </r>
  </si>
  <si>
    <r>
      <t xml:space="preserve">A </t>
    </r>
    <r>
      <rPr>
        <i/>
        <sz val="9"/>
        <rFont val="Calibri"/>
        <family val="2"/>
        <scheme val="minor"/>
      </rPr>
      <t>(Incapacitating)</t>
    </r>
  </si>
  <si>
    <r>
      <t xml:space="preserve">K </t>
    </r>
    <r>
      <rPr>
        <i/>
        <sz val="9"/>
        <rFont val="Calibri"/>
        <family val="2"/>
        <scheme val="minor"/>
      </rPr>
      <t>(Killed)</t>
    </r>
  </si>
  <si>
    <t>CMF for third best treatment</t>
  </si>
  <si>
    <t>CMF for first best treatment</t>
  </si>
  <si>
    <t>CMF for second best treatment</t>
  </si>
  <si>
    <r>
      <t>Estimated Annual Crash Reduction</t>
    </r>
    <r>
      <rPr>
        <b/>
        <vertAlign val="superscript"/>
        <sz val="11"/>
        <rFont val="Calibri"/>
        <family val="2"/>
        <scheme val="minor"/>
      </rPr>
      <t>3</t>
    </r>
  </si>
  <si>
    <t>Annual Safety Benefits</t>
  </si>
  <si>
    <t>TOTAL</t>
  </si>
  <si>
    <t>TOTAL SAFETY BENEFITS</t>
  </si>
  <si>
    <t>Non-Incapacitating</t>
  </si>
  <si>
    <t>TOTAL Safety Benefits ($2016)</t>
  </si>
  <si>
    <t>Estimated Annual Crash Reduction</t>
  </si>
  <si>
    <t>Planning</t>
  </si>
  <si>
    <t>VALUE OF EMISSIONS</t>
  </si>
  <si>
    <t xml:space="preserve">https://www.osti.gov/scitech/servlets/purl/10114725  </t>
  </si>
  <si>
    <r>
      <t xml:space="preserve">3. Emission Equivalency Factors - Michigan Department of Transportation (MDOT). CMAQ Emissions Factors Table (Statewide). Accessed February 2017. </t>
    </r>
    <r>
      <rPr>
        <i/>
        <u/>
        <sz val="11"/>
        <color theme="4" tint="-0.249977111117893"/>
        <rFont val="Calibri"/>
        <family val="2"/>
        <scheme val="minor"/>
      </rPr>
      <t>http://www.michigan.gov/documents/mdot/MDOT_CMAQ_EmissionFactorsTables_437123_7.pdf</t>
    </r>
  </si>
  <si>
    <t>5. A linear interpolation is applied to calculate intermediate speeds (i.e. between 2.5 mph to 5 mph) as indidcated in the MDOT emmission equivalency factor guidelines (See Source 2)</t>
  </si>
  <si>
    <t>VALUE OF EMISSIONS - CO</t>
  </si>
  <si>
    <r>
      <t>EMISSIONS (Non-CO</t>
    </r>
    <r>
      <rPr>
        <b/>
        <vertAlign val="subscript"/>
        <sz val="11"/>
        <color theme="0"/>
        <rFont val="Calibri"/>
        <family val="2"/>
        <scheme val="minor"/>
      </rPr>
      <t>2</t>
    </r>
    <r>
      <rPr>
        <b/>
        <sz val="11"/>
        <color theme="0"/>
        <rFont val="Calibri"/>
        <family val="2"/>
        <scheme val="minor"/>
      </rPr>
      <t>) - Calculations</t>
    </r>
  </si>
  <si>
    <t>http://www.michigan.gov/documents/deq/deq-aqd-air-aqe-sip-pm25-appendixD_223436_7.pdf</t>
  </si>
  <si>
    <t>8. 1 metric ton = 1.1015 short ton</t>
  </si>
  <si>
    <t xml:space="preserve">9. Emissions estimations are based on MDOTs and SEMCOG Arterial Travel Emission estimation formula   (pg 14 of Appendix D of the following report): </t>
  </si>
  <si>
    <t>VOC Savings (short ton/yr)</t>
  </si>
  <si>
    <t>NOx Savings (short ton/yr)</t>
  </si>
  <si>
    <t>PM Savings (short ton/yr)</t>
  </si>
  <si>
    <r>
      <t>EMISSIONS (CO</t>
    </r>
    <r>
      <rPr>
        <b/>
        <vertAlign val="subscript"/>
        <sz val="11"/>
        <color theme="0"/>
        <rFont val="Calibri"/>
        <family val="2"/>
        <scheme val="minor"/>
      </rPr>
      <t>2</t>
    </r>
    <r>
      <rPr>
        <b/>
        <sz val="11"/>
        <color theme="0"/>
        <rFont val="Calibri"/>
        <family val="2"/>
        <scheme val="minor"/>
      </rPr>
      <t>) - Calculations</t>
    </r>
  </si>
  <si>
    <r>
      <t>7. Carbon Monoxide (CO) has been included in the emission calculations as this is common reported pollutant in Michigan transportation projects similar to VOCs, NOx, PM, SO</t>
    </r>
    <r>
      <rPr>
        <i/>
        <vertAlign val="subscript"/>
        <sz val="11"/>
        <color theme="1"/>
        <rFont val="Calibri"/>
        <family val="2"/>
        <scheme val="minor"/>
      </rPr>
      <t>2</t>
    </r>
    <r>
      <rPr>
        <i/>
        <sz val="11"/>
        <color theme="1"/>
        <rFont val="Calibri"/>
        <family val="2"/>
        <scheme val="minor"/>
      </rPr>
      <t>, and CO</t>
    </r>
    <r>
      <rPr>
        <i/>
        <vertAlign val="subscript"/>
        <sz val="11"/>
        <color theme="1"/>
        <rFont val="Calibri"/>
        <family val="2"/>
        <scheme val="minor"/>
      </rPr>
      <t xml:space="preserve">2 </t>
    </r>
    <r>
      <rPr>
        <i/>
        <sz val="11"/>
        <color theme="1"/>
        <rFont val="Calibri"/>
        <family val="2"/>
        <scheme val="minor"/>
      </rPr>
      <t>as indicate in Source 2 and 3 above</t>
    </r>
  </si>
  <si>
    <t>TOTAL EMISSION SAVINGS</t>
  </si>
  <si>
    <t>TOTAL VOC Savings                 (short ton/year)</t>
  </si>
  <si>
    <t>TOTAL Nox Savings                 (short ton/year)</t>
  </si>
  <si>
    <t>TOTAL PM Savings                 (short ton/year)</t>
  </si>
  <si>
    <t>TOTAL CO Savings                 (metric ton/year)</t>
  </si>
  <si>
    <t>4. Positive (+) values represent reduction in emissions; Negative (-) values represent increases in emissions</t>
  </si>
  <si>
    <r>
      <t>VALUE OF EMISSIONS - CO</t>
    </r>
    <r>
      <rPr>
        <b/>
        <vertAlign val="subscript"/>
        <sz val="11"/>
        <color theme="0"/>
        <rFont val="Calibri"/>
        <family val="2"/>
        <scheme val="minor"/>
      </rPr>
      <t>2</t>
    </r>
  </si>
  <si>
    <t>Emissions Savings ($2016)</t>
  </si>
  <si>
    <t>Discounted Emissions Savings at 7%</t>
  </si>
  <si>
    <t>Discounted Operation and Maintenance at 7%</t>
  </si>
  <si>
    <t>BCR</t>
  </si>
  <si>
    <t>Fuel Savings ($2016)</t>
  </si>
  <si>
    <t>Discounted Fuel Savings at 7%</t>
  </si>
  <si>
    <t>FUEL CONSUMPTION SAVINGS - Calculations</t>
  </si>
  <si>
    <t>3. Assumes construction begins in 2020 and ends in 2022. Safety benefits are first realized in 2023.</t>
  </si>
  <si>
    <t>3. Assumes construction begins in 2020 and ends in 2022. Travel time savings are first realized in 2023.</t>
  </si>
  <si>
    <t>3. Assumes construction begins in 2020 and ends in 2022. Emission savings are first realized in 2023.</t>
  </si>
  <si>
    <t>3. Assumes construction begins in 2020 and ends in 2022. Fuel consumption savings are first realized in 2023.</t>
  </si>
  <si>
    <t>TOTAL Fuel Savings            (gallons/yr)</t>
  </si>
  <si>
    <t>Retail Gasoline Price Year</t>
  </si>
  <si>
    <t>Value of Gasoline Price</t>
  </si>
  <si>
    <t>$/gallon</t>
  </si>
  <si>
    <t xml:space="preserve">https://www.eia.gov/dnav/pet/pet_pri_gnd_dcus_nus_a.htm </t>
  </si>
  <si>
    <t>US. Energy Information Administration (EIA), U.S. Annual Retail Gasoline and Diesel Price, 2016 Gasoline - All Grades, Release Date 8/14/2017, Accessed August, 2017</t>
  </si>
  <si>
    <t>M.Q. Wang, D. J. Santini, and S.A. Warinner (1994), Methods of Valuing Air Poluution and Estimated Monetary Values of Air Pollutant in Various U.S. Regions, Argonne National Lab.</t>
  </si>
  <si>
    <t>P. Luckow, E. Stanton, S. Fields, W. Ong, B. Biewald, S. Jackson, J. Fisher. (2016) Spring 2016 National Carbon Dioxide Price Forecast. Synapse Energy Economics, Inc.</t>
  </si>
  <si>
    <t xml:space="preserve">http://www.synapse-energy.com/sites/default/files/2016-Synapse-CO2-Price-Forecast-66-008.pdf </t>
  </si>
  <si>
    <t>$/short ton ($2015)*</t>
  </si>
  <si>
    <t>*Value based on Mid Case</t>
  </si>
  <si>
    <r>
      <t>CO</t>
    </r>
    <r>
      <rPr>
        <b/>
        <vertAlign val="subscript"/>
        <sz val="11"/>
        <color theme="0"/>
        <rFont val="Calibri"/>
        <family val="2"/>
        <scheme val="minor"/>
      </rPr>
      <t>2</t>
    </r>
    <r>
      <rPr>
        <b/>
        <sz val="11"/>
        <color theme="0"/>
        <rFont val="Calibri"/>
        <family val="2"/>
        <scheme val="minor"/>
      </rPr>
      <t xml:space="preserve"> Savings (short ton/yr)</t>
    </r>
  </si>
  <si>
    <t>5. 1 metric ton = 1.1015 short ton</t>
  </si>
  <si>
    <r>
      <t>TOTAL CO</t>
    </r>
    <r>
      <rPr>
        <b/>
        <vertAlign val="subscript"/>
        <sz val="11"/>
        <color theme="1"/>
        <rFont val="Calibri"/>
        <family val="2"/>
        <scheme val="minor"/>
      </rPr>
      <t>2</t>
    </r>
    <r>
      <rPr>
        <b/>
        <sz val="11"/>
        <color theme="1"/>
        <rFont val="Calibri"/>
        <family val="2"/>
        <scheme val="minor"/>
      </rPr>
      <t xml:space="preserve"> Savings                 (short ton/year)</t>
    </r>
  </si>
  <si>
    <t>2. Based on 2015 Traffic Data  by Kimley-Horn of Michigan, Inc., Peak volume (i.e. 7AM-9AM &amp; 3PM-6PM) applys to 35% of the Average Daily Traffic; 15% for AM peak and 20% for PM peak</t>
  </si>
  <si>
    <t>2015 Average Annual Daily Traffic of segment i</t>
  </si>
  <si>
    <t>Miles of arterial roadway affected for segment i</t>
  </si>
  <si>
    <t xml:space="preserve">5. The impact of multiple safety treatments on crashes is assessed via the multiplication of the best three CMF's. The number of CMF's applied was limited to 3 to avoid unrealistic crash reductions: </t>
  </si>
  <si>
    <t>7. In order to avoid double counting which may stem from applying CMF's to overlapping Crash Categories, the Crash Categories have been split and isolated</t>
  </si>
  <si>
    <t>6. Applicable Crash Categories listed correspond with the identified CMFs based on the proposed safety treatment.</t>
  </si>
  <si>
    <t>8. Refer to CMF Tab for applicable CMFs</t>
  </si>
  <si>
    <r>
      <t>Applicable CMF's</t>
    </r>
    <r>
      <rPr>
        <b/>
        <vertAlign val="superscript"/>
        <sz val="11"/>
        <rFont val="Calibri"/>
        <family val="2"/>
        <scheme val="minor"/>
      </rPr>
      <t>8</t>
    </r>
  </si>
  <si>
    <r>
      <t>O</t>
    </r>
    <r>
      <rPr>
        <b/>
        <vertAlign val="superscript"/>
        <sz val="11"/>
        <rFont val="Calibri"/>
        <family val="2"/>
        <scheme val="minor"/>
      </rPr>
      <t>4</t>
    </r>
  </si>
  <si>
    <t>4. The Michigan State Police Department reports O (No Injury) crashes on a per vehicle basis and not on a per individual basis. Consequently a 1.39 average occupancy rate based on the BCA Guidance has been applied to report the number of individuals involved in O (No Injury) crashes.</t>
  </si>
  <si>
    <t>Synchro ID</t>
  </si>
  <si>
    <t>CO2 Emmission (g/mi)</t>
  </si>
  <si>
    <t>http://uctc.berkeley.edu/access/35/access35.pdf</t>
  </si>
  <si>
    <t>Fuel Consumption (mL/km)</t>
  </si>
  <si>
    <t>3. Fuel Consumption -- L. Evans and R. Herman. Urban Fuel Economy - Computer Simulation Calculations Interpreted in Terms of Simple Mode. Transportation Research, 1978 (b).</t>
  </si>
  <si>
    <t>1 . Based on 2015 Traffic Data  by Kimley-Horn of Michigan, Inc., Peak volume (i.e. 7AM-9AM &amp; 3PM-6PM) applys to 35% of the Average Daily Traffic; 15% for AM peak and 20% for PM peak</t>
  </si>
  <si>
    <t>3. Positive (+) values represent reductions in fuel consumption; Negative (-) values represent increases in fuel consumption</t>
  </si>
  <si>
    <t>Fuel consumption for segment i per unit distance (mL/km)</t>
  </si>
  <si>
    <t>Average travel speed for segment I in km/h</t>
  </si>
  <si>
    <r>
      <t>Cosntant where k</t>
    </r>
    <r>
      <rPr>
        <vertAlign val="subscript"/>
        <sz val="11"/>
        <color theme="1"/>
        <rFont val="Calibri"/>
        <family val="2"/>
        <scheme val="minor"/>
      </rPr>
      <t>1</t>
    </r>
    <r>
      <rPr>
        <sz val="11"/>
        <color theme="1"/>
        <rFont val="Calibri"/>
        <family val="2"/>
        <scheme val="minor"/>
      </rPr>
      <t xml:space="preserve"> = 2722 for medium cars (mL/h)</t>
    </r>
  </si>
  <si>
    <r>
      <t>Constant where k</t>
    </r>
    <r>
      <rPr>
        <vertAlign val="subscript"/>
        <sz val="11"/>
        <color theme="1"/>
        <rFont val="Calibri"/>
        <family val="2"/>
        <scheme val="minor"/>
      </rPr>
      <t>2</t>
    </r>
    <r>
      <rPr>
        <sz val="11"/>
        <color theme="1"/>
        <rFont val="Calibri"/>
        <family val="2"/>
        <scheme val="minor"/>
      </rPr>
      <t xml:space="preserve"> = 85.1 for medium cars (mL/km)</t>
    </r>
  </si>
  <si>
    <t>Fuel Savings (gallons/yr)</t>
  </si>
  <si>
    <t>TOTAL FUEL SAVINGS</t>
  </si>
  <si>
    <t>1 mL = 0.000264172</t>
  </si>
  <si>
    <t>1 mile = 1.60934 km</t>
  </si>
  <si>
    <t xml:space="preserve">                                  -- L. Evans and R. Herman. A simplified approach to calculations of fuel consumptions in urban traffic systems. Traffic Eng. Control 17, 18(9), pp. 352-54 1976.</t>
  </si>
  <si>
    <t>ITS &amp; CONNECTED VEHICLE SAVINGS</t>
  </si>
  <si>
    <t>1. Connected Vehicle Market Penetration Rate -- J. Wright, J. K. Garret, C. J. Hill, G. D. Krueger, J. H. Evans, S. Andrews, C. K. Wilson, R. Rajbhandari, B. Burkhard. National Connected Vehicle Field Infrastructure Footprint Analysis: Final Report. U.S. Department of Transportation, FHWA-JPO-14-125, 2014.</t>
  </si>
  <si>
    <t xml:space="preserve">https://ntl.bts.gov/lib/52000/52600/52602/FHWA-JPO-14-125_v2.pdf </t>
  </si>
  <si>
    <t>TRAVEL TIME</t>
  </si>
  <si>
    <t>EMISSIONS</t>
  </si>
  <si>
    <t>TOTAL EXISTING Travel Time for All Purpose (hr/year)</t>
  </si>
  <si>
    <t>TOTAL EXISTING Travel Time for Buses (hr/year)</t>
  </si>
  <si>
    <t>TOTAL EXISTING Travel Time for Trucks (hr/year)</t>
  </si>
  <si>
    <t>Segment Length (mi)</t>
  </si>
  <si>
    <t>TOTAL EXISTING VOC (short ton/yr)</t>
  </si>
  <si>
    <t>TOTAL EXISTING NOx (short ton/yr)</t>
  </si>
  <si>
    <t>TOTAL EXISTING CO (metric ton/yr)</t>
  </si>
  <si>
    <t>TOTAL EXISTING PM (short ton/yr)</t>
  </si>
  <si>
    <r>
      <t>TOTAL EXISTING CO</t>
    </r>
    <r>
      <rPr>
        <b/>
        <vertAlign val="subscript"/>
        <sz val="11"/>
        <rFont val="Calibri"/>
        <family val="2"/>
        <scheme val="minor"/>
      </rPr>
      <t>2</t>
    </r>
    <r>
      <rPr>
        <b/>
        <sz val="11"/>
        <rFont val="Calibri"/>
        <family val="2"/>
        <scheme val="minor"/>
      </rPr>
      <t xml:space="preserve"> (short ton/yr)</t>
    </r>
  </si>
  <si>
    <t>TOTAL EXISTING Fuel Consumption (gallons/yr)</t>
  </si>
  <si>
    <t>ITS &amp; CONNECTED VEHICLE - Back Calculations (for existing conditions)</t>
  </si>
  <si>
    <t>SAFETY</t>
  </si>
  <si>
    <r>
      <t xml:space="preserve">O              </t>
    </r>
    <r>
      <rPr>
        <i/>
        <sz val="11"/>
        <color theme="1"/>
        <rFont val="Calibri"/>
        <family val="2"/>
        <scheme val="minor"/>
      </rPr>
      <t>(No Injury)</t>
    </r>
  </si>
  <si>
    <r>
      <t xml:space="preserve">C              </t>
    </r>
    <r>
      <rPr>
        <i/>
        <sz val="11"/>
        <color theme="1"/>
        <rFont val="Calibri"/>
        <family val="2"/>
        <scheme val="minor"/>
      </rPr>
      <t>(Possible Injury)</t>
    </r>
  </si>
  <si>
    <r>
      <t xml:space="preserve">B                               </t>
    </r>
    <r>
      <rPr>
        <i/>
        <sz val="11"/>
        <color theme="1"/>
        <rFont val="Calibri"/>
        <family val="2"/>
        <scheme val="minor"/>
      </rPr>
      <t>(Non-Incapacitating)</t>
    </r>
  </si>
  <si>
    <r>
      <t xml:space="preserve">A              </t>
    </r>
    <r>
      <rPr>
        <i/>
        <sz val="11"/>
        <color theme="1"/>
        <rFont val="Calibri"/>
        <family val="2"/>
        <scheme val="minor"/>
      </rPr>
      <t>(Incapacitating)</t>
    </r>
  </si>
  <si>
    <r>
      <t xml:space="preserve">K            </t>
    </r>
    <r>
      <rPr>
        <i/>
        <sz val="11"/>
        <color theme="1"/>
        <rFont val="Calibri"/>
        <family val="2"/>
        <scheme val="minor"/>
      </rPr>
      <t>(Killed)</t>
    </r>
  </si>
  <si>
    <r>
      <t>TRAVEL TIME</t>
    </r>
    <r>
      <rPr>
        <b/>
        <vertAlign val="superscript"/>
        <sz val="11"/>
        <rFont val="Calibri"/>
        <family val="2"/>
        <scheme val="minor"/>
      </rPr>
      <t>1</t>
    </r>
  </si>
  <si>
    <r>
      <t>EMISSIONS</t>
    </r>
    <r>
      <rPr>
        <b/>
        <vertAlign val="superscript"/>
        <sz val="11"/>
        <rFont val="Calibri"/>
        <family val="2"/>
        <scheme val="minor"/>
      </rPr>
      <t>2</t>
    </r>
  </si>
  <si>
    <r>
      <t>SAFETY</t>
    </r>
    <r>
      <rPr>
        <b/>
        <vertAlign val="superscript"/>
        <sz val="11"/>
        <rFont val="Calibri"/>
        <family val="2"/>
        <scheme val="minor"/>
      </rPr>
      <t>4</t>
    </r>
  </si>
  <si>
    <t>1. Refer to TRAVEL TIME tabs for travel time calculations, sources and notes</t>
  </si>
  <si>
    <t>3. Refer to FUEL tabs for emmission calculations, sources and notes</t>
  </si>
  <si>
    <t>4. Refer to SAFETY tabs for safety calculations, sources and notes</t>
  </si>
  <si>
    <r>
      <t>Connected Vehicle Market Penetration Rate</t>
    </r>
    <r>
      <rPr>
        <b/>
        <vertAlign val="superscript"/>
        <sz val="11"/>
        <color theme="1"/>
        <rFont val="Calibri"/>
        <family val="2"/>
        <scheme val="minor"/>
      </rPr>
      <t>1</t>
    </r>
  </si>
  <si>
    <t xml:space="preserve">https://trid.trb.org/view.aspx?id=1325264 </t>
  </si>
  <si>
    <t xml:space="preserve">    Mobility benefit at a particular market penetration rate can be expressed as:</t>
  </si>
  <si>
    <t>Mobility benefit at market penetration rate of year i (%)</t>
  </si>
  <si>
    <t>Market penetration rate of year I (%)</t>
  </si>
  <si>
    <t>Maximum mobility benefit, equals 25%</t>
  </si>
  <si>
    <t>Market penetration rate in which the maximum mobility benefit is reached, equals 100%</t>
  </si>
  <si>
    <t xml:space="preserve">   Given the findings, the travel time benefit reaches a maximum of 25% at 100% market penetration rate. A linear relationship is utilzied to extrapolate the expected mobility benefit stemming from connected vehicle technology and ITS between at unknown market penetration rates</t>
  </si>
  <si>
    <t>TOTAL Travel Time Savings for All  Purpose (hr/year)</t>
  </si>
  <si>
    <r>
      <t>Connected Vehicle MOBILITY Benefit</t>
    </r>
    <r>
      <rPr>
        <b/>
        <vertAlign val="superscript"/>
        <sz val="11"/>
        <color theme="1"/>
        <rFont val="Calibri"/>
        <family val="2"/>
        <scheme val="minor"/>
      </rPr>
      <t>2</t>
    </r>
  </si>
  <si>
    <r>
      <t>Connected Vehicle SAFETY Benefit</t>
    </r>
    <r>
      <rPr>
        <b/>
        <vertAlign val="superscript"/>
        <sz val="11"/>
        <color theme="1"/>
        <rFont val="Calibri"/>
        <family val="2"/>
        <scheme val="minor"/>
      </rPr>
      <t>3</t>
    </r>
  </si>
  <si>
    <r>
      <t>2011-2015 Non-Impaired Crashes</t>
    </r>
    <r>
      <rPr>
        <b/>
        <vertAlign val="superscript"/>
        <sz val="11"/>
        <color theme="1"/>
        <rFont val="Calibri"/>
        <family val="2"/>
        <scheme val="minor"/>
      </rPr>
      <t>6</t>
    </r>
  </si>
  <si>
    <r>
      <t>Annualized Non-Impaired Crashes</t>
    </r>
    <r>
      <rPr>
        <b/>
        <vertAlign val="superscript"/>
        <sz val="11"/>
        <color theme="1"/>
        <rFont val="Calibri"/>
        <family val="2"/>
        <scheme val="minor"/>
      </rPr>
      <t>6</t>
    </r>
  </si>
  <si>
    <t>6. Crashes reported represent all of the number of injuries, fatalities, or no injuries involved in the accident on a per individual basis</t>
  </si>
  <si>
    <t>3. Crashes reported represent all of the number of injuries, fatalities, or no injuries involved in the accident on a per individual basis</t>
  </si>
  <si>
    <t xml:space="preserve">https://www.nhtsa.gov/press-releases/us-dot-advances-deployment-connected-vehicle-technology-prevent-hundreds-thousands </t>
  </si>
  <si>
    <t>2.Connected Vehicle MOBILITY Benefit is based on Guler et.al. (2014) which estimates a mobility benefit up to 25% at 100% market penetration rate.</t>
  </si>
  <si>
    <t>3. Connected Vehicle SAFETY Benefit is based on NHTSA prediction which states that safety applications as a result of such technology can eliminate or mitigate up to 80% of non-impared crashes.</t>
  </si>
  <si>
    <t xml:space="preserve">     It is assumed that the 80% crash reduction is fully achieved until 100% connected vehicle market penetration rate is achieved.</t>
  </si>
  <si>
    <t xml:space="preserve">     A linear relationship is utilized to extrapolate the expected crash reduction at unkown marke penetration rates.</t>
  </si>
  <si>
    <t>Safety benefit at market penetration rate of year i (%)</t>
  </si>
  <si>
    <t>Maximum safety benefit, equals 80%</t>
  </si>
  <si>
    <r>
      <t xml:space="preserve">TOTAL Crash Reduction             O                            </t>
    </r>
    <r>
      <rPr>
        <i/>
        <sz val="11"/>
        <color theme="1"/>
        <rFont val="Calibri"/>
        <family val="2"/>
        <scheme val="minor"/>
      </rPr>
      <t>(No Injury)</t>
    </r>
  </si>
  <si>
    <r>
      <t xml:space="preserve">TOTAL Crash Reduction             C              </t>
    </r>
    <r>
      <rPr>
        <i/>
        <sz val="11"/>
        <color theme="1"/>
        <rFont val="Calibri"/>
        <family val="2"/>
        <scheme val="minor"/>
      </rPr>
      <t>(Possible Injury)</t>
    </r>
  </si>
  <si>
    <r>
      <t xml:space="preserve">TOTAL Crash Reduction                         B                               </t>
    </r>
    <r>
      <rPr>
        <i/>
        <sz val="11"/>
        <color theme="1"/>
        <rFont val="Calibri"/>
        <family val="2"/>
        <scheme val="minor"/>
      </rPr>
      <t>(Non-Incapacitating)</t>
    </r>
  </si>
  <si>
    <r>
      <t xml:space="preserve">TOTAL Crash Reduction                      A              </t>
    </r>
    <r>
      <rPr>
        <i/>
        <sz val="11"/>
        <color theme="1"/>
        <rFont val="Calibri"/>
        <family val="2"/>
        <scheme val="minor"/>
      </rPr>
      <t>(Incapacitating)</t>
    </r>
  </si>
  <si>
    <r>
      <t xml:space="preserve">TOTAL Crash Reduction               K                       </t>
    </r>
    <r>
      <rPr>
        <i/>
        <sz val="11"/>
        <color theme="1"/>
        <rFont val="Calibri"/>
        <family val="2"/>
        <scheme val="minor"/>
      </rPr>
      <t>(Killed)</t>
    </r>
  </si>
  <si>
    <t>7. To avoid double counting of crash benefits only those crashes not affected by traditional safety treatments as listed under the SAFETY tabs are considered under the connected vehicle safety benefits</t>
  </si>
  <si>
    <r>
      <t>Connected Vehicle Applicable Non-Impared Crashes</t>
    </r>
    <r>
      <rPr>
        <b/>
        <vertAlign val="superscript"/>
        <sz val="11"/>
        <rFont val="Calibri"/>
        <family val="2"/>
        <scheme val="minor"/>
      </rPr>
      <t>6, 7</t>
    </r>
  </si>
  <si>
    <r>
      <t>Annual Crash Reduction from traditional safety treatments</t>
    </r>
    <r>
      <rPr>
        <b/>
        <vertAlign val="superscript"/>
        <sz val="11"/>
        <rFont val="Calibri"/>
        <family val="2"/>
        <scheme val="minor"/>
      </rPr>
      <t>6, 7</t>
    </r>
  </si>
  <si>
    <t>TOTAL Safety Benefits From Connected Vehicles  ($2016)</t>
  </si>
  <si>
    <t>TOTAL Travel Time Savings From Connected Vehicles  ($2016)</t>
  </si>
  <si>
    <t>TOTAL VOC Savings                 ($2016)</t>
  </si>
  <si>
    <t>TOTAL Nox Savings                 ($2016)</t>
  </si>
  <si>
    <t>TOTAL PM Savings                 ($2016)</t>
  </si>
  <si>
    <t>TOTAL CO Savings                 ($2016)</t>
  </si>
  <si>
    <r>
      <t>TOTAL CO</t>
    </r>
    <r>
      <rPr>
        <b/>
        <vertAlign val="subscript"/>
        <sz val="11"/>
        <color theme="1"/>
        <rFont val="Calibri"/>
        <family val="2"/>
        <scheme val="minor"/>
      </rPr>
      <t>2</t>
    </r>
    <r>
      <rPr>
        <b/>
        <sz val="11"/>
        <color theme="1"/>
        <rFont val="Calibri"/>
        <family val="2"/>
        <scheme val="minor"/>
      </rPr>
      <t xml:space="preserve"> Savings                 ($2016)</t>
    </r>
  </si>
  <si>
    <t>TOTAL Emission Savings          ($2016)</t>
  </si>
  <si>
    <t>TOTAL Travel Time Savings for All Purpose  ($2016)</t>
  </si>
  <si>
    <t>TOTAL Travel Time Savings for Buses ($2016)</t>
  </si>
  <si>
    <t>TOTAL Travel Time Savings for Trucks ($2016)</t>
  </si>
  <si>
    <t>TOTAL Travel Time Savings  ($2016)</t>
  </si>
  <si>
    <t>TOTAL Fuel Savings            ($2016)</t>
  </si>
  <si>
    <t>TOTAL Emission Savings From Connected Vehicles  ($2016)</t>
  </si>
  <si>
    <t>2. Refer to EMISSION tabs for emmission calculations, sources and notes</t>
  </si>
  <si>
    <r>
      <t>Connected Vehicle VOC EMISSION  Benefit</t>
    </r>
    <r>
      <rPr>
        <b/>
        <vertAlign val="superscript"/>
        <sz val="11"/>
        <color theme="1"/>
        <rFont val="Calibri"/>
        <family val="2"/>
        <scheme val="minor"/>
      </rPr>
      <t>4</t>
    </r>
  </si>
  <si>
    <t>TOTAL NOx Savings                 (short ton/year)</t>
  </si>
  <si>
    <r>
      <t>Connected Vehicle NOx EMISSION  Benefit</t>
    </r>
    <r>
      <rPr>
        <b/>
        <vertAlign val="superscript"/>
        <sz val="11"/>
        <color theme="1"/>
        <rFont val="Calibri"/>
        <family val="2"/>
        <scheme val="minor"/>
      </rPr>
      <t>4</t>
    </r>
  </si>
  <si>
    <r>
      <t>Connected Vehicle PM EMISSION  Benefit</t>
    </r>
    <r>
      <rPr>
        <b/>
        <vertAlign val="superscript"/>
        <sz val="11"/>
        <color theme="1"/>
        <rFont val="Calibri"/>
        <family val="2"/>
        <scheme val="minor"/>
      </rPr>
      <t>4</t>
    </r>
  </si>
  <si>
    <r>
      <t>Connected Vehicle CO EMISSION  Benefit</t>
    </r>
    <r>
      <rPr>
        <b/>
        <vertAlign val="superscript"/>
        <sz val="11"/>
        <color theme="1"/>
        <rFont val="Calibri"/>
        <family val="2"/>
        <scheme val="minor"/>
      </rPr>
      <t>4</t>
    </r>
  </si>
  <si>
    <r>
      <t>Connected Vehicle CO</t>
    </r>
    <r>
      <rPr>
        <b/>
        <vertAlign val="subscript"/>
        <sz val="11"/>
        <color theme="1"/>
        <rFont val="Calibri"/>
        <family val="2"/>
        <scheme val="minor"/>
      </rPr>
      <t>2</t>
    </r>
    <r>
      <rPr>
        <b/>
        <sz val="11"/>
        <color theme="1"/>
        <rFont val="Calibri"/>
        <family val="2"/>
        <scheme val="minor"/>
      </rPr>
      <t xml:space="preserve"> EMISSION  Benefit</t>
    </r>
    <r>
      <rPr>
        <b/>
        <vertAlign val="superscript"/>
        <sz val="11"/>
        <color theme="1"/>
        <rFont val="Calibri"/>
        <family val="2"/>
        <scheme val="minor"/>
      </rPr>
      <t>4</t>
    </r>
  </si>
  <si>
    <t>http://www.caee.utexas.edu/prof/kockelman/public_html/TRB17CAVEmissions.pdf</t>
  </si>
  <si>
    <t xml:space="preserve">    A linear relationship is utilzied to extrapolate the expected mobility benefit stemming from connected vehicle technology and ITS between at unknown market penetration rates</t>
  </si>
  <si>
    <t xml:space="preserve">    Given the findings, the particular emmission benefit reaches its maximum reduction at 100% market penetration rate.</t>
  </si>
  <si>
    <t>Emission benefit at market penetration rate of year i (%)</t>
  </si>
  <si>
    <r>
      <t>Maximum emission benefit, equals 10.89% for VOC, 15.51% for NOx, 19.09% for PM, 13.23% for CO, and 6.55% for CO</t>
    </r>
    <r>
      <rPr>
        <vertAlign val="subscript"/>
        <sz val="11"/>
        <color theme="1"/>
        <rFont val="Calibri"/>
        <family val="2"/>
        <scheme val="minor"/>
      </rPr>
      <t>2</t>
    </r>
  </si>
  <si>
    <r>
      <t>4. Connected Vehicle EMISSION Benefit is based on Liu et. al. (2017), which provides average emission reductions of 10.89% for VOC, 15.51% for NOx, 19.09% for PM, 13.23% for CO, and 6.55% for CO</t>
    </r>
    <r>
      <rPr>
        <i/>
        <vertAlign val="subscript"/>
        <sz val="11"/>
        <color theme="1"/>
        <rFont val="Calibri"/>
        <family val="2"/>
        <scheme val="minor"/>
      </rPr>
      <t xml:space="preserve">2 </t>
    </r>
    <r>
      <rPr>
        <i/>
        <sz val="11"/>
        <color theme="1"/>
        <rFont val="Calibri"/>
        <family val="2"/>
        <scheme val="minor"/>
      </rPr>
      <t>at a 100% market penetration rate.</t>
    </r>
  </si>
  <si>
    <t>FUEL CONSUMPTION</t>
  </si>
  <si>
    <r>
      <t>FUEL CONSUMPTION</t>
    </r>
    <r>
      <rPr>
        <b/>
        <vertAlign val="superscript"/>
        <sz val="11"/>
        <rFont val="Calibri"/>
        <family val="2"/>
        <scheme val="minor"/>
      </rPr>
      <t>3</t>
    </r>
  </si>
  <si>
    <t>TOTAL Fuel Consumption Savings From Connected Vehicles  ($2016)</t>
  </si>
  <si>
    <r>
      <t>Connected Vehicle FUEL CONSUMPTION  Benefit</t>
    </r>
    <r>
      <rPr>
        <b/>
        <vertAlign val="superscript"/>
        <sz val="11"/>
        <color theme="1"/>
        <rFont val="Calibri"/>
        <family val="2"/>
        <scheme val="minor"/>
      </rPr>
      <t>5</t>
    </r>
  </si>
  <si>
    <t>5. Connected Vehicle FUEL CONSUMPTION Benefit -- J. Chang, G. Hatcher, D. Hicks, J. Schneeberger, B. Staples, S. Sundarajn, M. Vasudevan, P. Wang, K. Wunderlich. Estimated Benefits of Connected Vehicle Applicaions: Dynamic Mobility Applications, AERIS, V2I Safety, and Road Weather Management. U.S. Department of Transportation, FHWA-JPO-15-255, 2015.</t>
  </si>
  <si>
    <t>https://ntl.bts.gov/lib/56000/56200/56238/FHWA-JPO-16-255.pdf</t>
  </si>
  <si>
    <t>5. Connected Vehicle FUEL CONSUMPTION Benefit is based on FHWA's Report (FHWA-JPO-15-255), which notes a 13% fuel reduction benefit along a coordinated cooridor.</t>
  </si>
  <si>
    <t xml:space="preserve">    Given the findings, the maximum fuel reduction benefit of 13% is reached at 100% market penetration rate.</t>
  </si>
  <si>
    <t>Fuel reduction benefit at market penetration rate of year i (%)</t>
  </si>
  <si>
    <t>Maximum fuel reduction benefit, equals 13%</t>
  </si>
  <si>
    <t>Market penetration rate of year i (%)</t>
  </si>
  <si>
    <t>TOTAL  Fuel Reduction (gallons/yr)</t>
  </si>
  <si>
    <t>TOTAL Connected Vehicles Benefit ($2016)</t>
  </si>
  <si>
    <t>7. Savings are based on 2016$</t>
  </si>
  <si>
    <t>9. Assumes no new additional users. All users are existing regardless of whether the proposal is built or not.</t>
  </si>
  <si>
    <t>ITS/Connected Vehicle Savings ($2016)</t>
  </si>
  <si>
    <t>ITS/Connected Vehicle Savings at 7%</t>
  </si>
  <si>
    <t>2. Connected Vehicle MOBILITY Benefit -- S. Guler, M. Menendez, and L. Meier. Using Connected Vehicle Technology to Improve the Efficiency of Intersections. Transportation Research Part C, Vol 46, pp. 121-131, 2014</t>
  </si>
  <si>
    <t>4. Connected Vehicle EMISSION Benefit -- J. Liu., K. M. Kockelman, A. Nichols. Anticipating the Emissions Impacts of Smoother Driving by Connected and Autonomous Vehicles, Using the MOVES Model. 96th Annual Meeting of the Transportation Research Board, 2017</t>
  </si>
  <si>
    <t>3. Connected Vehicle SAFETY Benefit -- National Highway Traffic Safety Administration (NHTSA). U.S. DOT advances deployment of Connected Vehicle Technology to prevent hundreds of thousands of crashes, 2016.</t>
  </si>
  <si>
    <r>
      <t>3. CO</t>
    </r>
    <r>
      <rPr>
        <i/>
        <vertAlign val="subscript"/>
        <sz val="11"/>
        <color theme="1"/>
        <rFont val="Calibri"/>
        <family val="2"/>
        <scheme val="minor"/>
      </rPr>
      <t>2</t>
    </r>
    <r>
      <rPr>
        <i/>
        <sz val="11"/>
        <color theme="1"/>
        <rFont val="Calibri"/>
        <family val="2"/>
        <scheme val="minor"/>
      </rPr>
      <t xml:space="preserve"> Emissions - M. Barth and K. Borioboonsomsin. Traffic Congestion and Greenhouse Gases. Access 35, 2009. </t>
    </r>
  </si>
  <si>
    <r>
      <t>1. CO</t>
    </r>
    <r>
      <rPr>
        <i/>
        <vertAlign val="subscript"/>
        <sz val="11"/>
        <color theme="1"/>
        <rFont val="Calibri"/>
        <family val="2"/>
        <scheme val="minor"/>
      </rPr>
      <t>2</t>
    </r>
    <r>
      <rPr>
        <i/>
        <sz val="11"/>
        <color theme="1"/>
        <rFont val="Calibri"/>
        <family val="2"/>
        <scheme val="minor"/>
      </rPr>
      <t xml:space="preserve"> Emissions are based on the CO2 Emmission - Speed Curve as presented on Page 5 of the following journal: M. Barth and K. Boriboonsomsin. Traffic Congestion and Greenhouse Gases. Access 35, 2009.</t>
    </r>
  </si>
  <si>
    <t>1 mph = 1.609344 kmh</t>
  </si>
  <si>
    <t>3. Construction cost expenditures are projected to be incurred evenly over the 3-year period.</t>
  </si>
  <si>
    <t>OPERATIONS &amp;  MAINTENANCE</t>
  </si>
  <si>
    <t>Build Scenario</t>
  </si>
  <si>
    <t>No Build Scenario</t>
  </si>
  <si>
    <t>Infrastructure Condition</t>
  </si>
  <si>
    <t>Excellent</t>
  </si>
  <si>
    <t>Very Good</t>
  </si>
  <si>
    <t>Poor - Fair</t>
  </si>
  <si>
    <t>Fair - Good</t>
  </si>
  <si>
    <t>1. Savings are based on 2016$</t>
  </si>
  <si>
    <t>2. Assumes construction begins in 2020 and ends in 2022. New infrastructure enters in operations in 2023</t>
  </si>
  <si>
    <t>Condition</t>
  </si>
  <si>
    <t xml:space="preserve">Treatment </t>
  </si>
  <si>
    <t>Cost per Lane Mile</t>
  </si>
  <si>
    <t>No. of Years</t>
  </si>
  <si>
    <t>7 &amp; 8</t>
  </si>
  <si>
    <t>9 &amp; 10</t>
  </si>
  <si>
    <t>5 &amp; 6</t>
  </si>
  <si>
    <t>3 &amp; 4</t>
  </si>
  <si>
    <t>1 &amp; 2</t>
  </si>
  <si>
    <t>Failed</t>
  </si>
  <si>
    <t>No maintenance required</t>
  </si>
  <si>
    <t>Routine maintenance</t>
  </si>
  <si>
    <t>Surface  repairs, sealing, partial depth patching</t>
  </si>
  <si>
    <t>Extensive slab or joint rehabilitation</t>
  </si>
  <si>
    <t>Reconstruction</t>
  </si>
  <si>
    <t>PASER Rating</t>
  </si>
  <si>
    <t>1  -  8</t>
  </si>
  <si>
    <t>9  -  18</t>
  </si>
  <si>
    <t>19  -  24</t>
  </si>
  <si>
    <t>25  -  29</t>
  </si>
  <si>
    <t>4. Recommended Concrete Treatments and Associated Costs:</t>
  </si>
  <si>
    <t>3. According to Macomb County Department of Roads, the County spends the following on annual maintenance on Mound Road:</t>
  </si>
  <si>
    <t>Maintenance Type</t>
  </si>
  <si>
    <t>Annual Cost</t>
  </si>
  <si>
    <t>Concrete Replacement</t>
  </si>
  <si>
    <t>Patrol Patching</t>
  </si>
  <si>
    <t>6. Total Mound Road Lane Miles = 67</t>
  </si>
  <si>
    <t>Operations &amp; Maintenance Savings</t>
  </si>
  <si>
    <t>Revised Departmental Guidance on Valuation of Travel Time in Economic Analysis</t>
  </si>
  <si>
    <t>Construction Costs ($2016)</t>
  </si>
  <si>
    <t>Change to Baseline</t>
  </si>
  <si>
    <t>Deteriorated pavement and infrastructure conditions which have exceeded service life</t>
  </si>
  <si>
    <t>All existing users of the facility</t>
  </si>
  <si>
    <t>Inefficient traffic flow progression; Substandard signal design; Congestion from capacity constraints in the northern end of the corridor</t>
  </si>
  <si>
    <t>Reconstruction with high performance concrete pavement (P1 Modified); New drainage; Curb &amp; gutter; Driveways; Restoration &amp; landscaping</t>
  </si>
  <si>
    <t>Travel Time Savings for passenger vehicles, public transportation, freight, and emergency vehicles; Emission reductions for a wide array of pollutants; Fuel savings; Significant expected crash reductions; Infrastructure conducive to business retention and attraction</t>
  </si>
  <si>
    <t>Non-MUTCD conforming signing</t>
  </si>
  <si>
    <t>Expected crash reductions</t>
  </si>
  <si>
    <t>MUTCD conforming traffic signs</t>
  </si>
  <si>
    <t>Limited non-motorized user mobility and connectivity</t>
  </si>
  <si>
    <t>Signal optimization and modernizations; Widening of the roadway between 17 Mile to M-59; Connected Vehicle Technology; Fiber Optic Communications; ITS Technology, FAST system and weather station</t>
  </si>
  <si>
    <t>Non-motorized multi-use paths; Two pedestrian bridges</t>
  </si>
  <si>
    <t>Increase safety, mobility &amp; connectivity for non-motorized users; Community integration; Infrastructure conducive to business retention and attraction</t>
  </si>
  <si>
    <t>Low visibility at night</t>
  </si>
  <si>
    <t>Energy efficient unified lighting</t>
  </si>
  <si>
    <t>Increase safety; Lower energy consumption</t>
  </si>
  <si>
    <t>ITS and Connected Vehicle Technologies throughout the entire corridor</t>
  </si>
  <si>
    <t>Overall infrastructure conditions which do not reflect business and employment needs and characteristics of the corridor</t>
  </si>
  <si>
    <t>Travel time savings; Significant safety benefits; Emission reduction; Fuel consumption reduction; Infrastructure conducive to business retention and attraction; Advancement of Connected Vehicle Technology applications and goals</t>
  </si>
  <si>
    <t>Lower operations &amp; maintenance costs; Increased safety from improved pavement friction; Noise reduction; Lower vehicle maintenance costs; Infrastructure conducive to business retention and attraction</t>
  </si>
  <si>
    <t>4. Fuel Consumption is based on the Fuel Consumption formula established Evans and Herman (1976, 1978) in the metropolitan Detroit area and which is applicable for low and mid-range speeds, where:</t>
  </si>
  <si>
    <t xml:space="preserve">NPV at 7%                  </t>
  </si>
  <si>
    <t>4. Assumes a 1.5% annual growth corresponding to projected traffic volume growth for subject corridor. 1.5% Growth is applied to year 2016  (base year) as well since calculations are based on 2015 data. There are no concerns with regards to capacity constraints for this growth rate.</t>
  </si>
  <si>
    <t>1. Assumes a 1.5% annual growth corresponding to projected traffic volume growth for subject corridor. 1.5% Growth is applied to year 2016  (base year) as well since travel time calculations are based on 2015 data. There are no concerns with regards to capacity constraints for this growth rate</t>
  </si>
  <si>
    <t>3. All values presented in the above table are based on and represent 2015 data. A 1.5% annual growth rate will be applied for future years. The 1.5% annual growth corresponds to a  projected growth in traffic volumes for the subject coridor.</t>
  </si>
  <si>
    <t>1. Assumes a 1.5% annual growth corresponding to projected traffic volume growth for subject corridor. 1.5% Growth is applied to year 2016  (base year) as well since crash data calculations are based on 2015 data. There are no concerns with regards to capacity constraints for this growth rate</t>
  </si>
  <si>
    <t>2. Annual crashes are obtained via the average of the 2011-2015 crashes. Crashes are increased by 1.5% each year starting with 2016 by assuming a direct correlation between traffic volumes and crash frequency.</t>
  </si>
  <si>
    <t>1. Assumes a 1.5% annual growth corresponding to projected traffic volume growth for subject corridor. 1.5% Growth is applied to year 2016  (base year) as well since emission data calculations are based on 2015 data. There are no concerns with regards to capacity constraints for this growth rate</t>
  </si>
  <si>
    <t>3. All values presented in the above table are based on and represent 2015 data. A 1.5% annual growth rate will be applied for future years. The 1.5% annual growth corresponds to a projected growth in traffic volumes for the subject coridor.</t>
  </si>
  <si>
    <t>3. All values presented in the above table are based on and represent 2015 data. A 1.5%  annual growth rate will be applied for future years. The 1.5% annual growth corresponds to a projected growth in traffic volumes for the subject coridor.</t>
  </si>
  <si>
    <t>1. Assumes a 1.5% annual growth corresponding to projected traffic volume growth for subject corridor. 1.5% Growth is applied to year 2016  (base year) as well since fuel consumption data calculations are based on 2015 data. There are no concerns with regards to capacity constraints for this growth rate</t>
  </si>
  <si>
    <t>2. All values presented in the above table are based on and represent 2015 data. A 1.5% annual growth rate will be applied for future years. The 1.5% annual growth corresponds to a projected growth in traffic volumes for the subject coridor.</t>
  </si>
  <si>
    <t>5. TRAVEL TIME, EMMISSION, FUEL CONSUMPTION, and SAFETY values represent 2015 data. A 1.5% annual growth rate will be applied for future years. The 1.5% annual growth corresponds to a projected growth in traffic volumes for the subject corridor</t>
  </si>
  <si>
    <t>6. Assumes a 1.5% annual growth corresponding to projected traffic volume growth for subject corridor. 1.5% Growth is applied to year 2016  (base year) as well since connected vehicle data calculations are based on 2015 data. There are no concerns with regards to capacity constraints for this growth rate</t>
  </si>
  <si>
    <t>1. Connected Vehicle Market Penetration Rate is based on FHWA's Report (Page 93 of FHWA-JPO-14-125) "Connected Vehicle Equipped Population Over Time" Curve with a 1-Year Mandate assumption, and which assumes an initial deployment start date of 2020.</t>
  </si>
  <si>
    <t>8. Assumes construction begins in 2020 and ends in 2022. Connected vehicle benefits are first realized in 2023.</t>
  </si>
  <si>
    <r>
      <t>Maintenance Cost ($2016)</t>
    </r>
    <r>
      <rPr>
        <b/>
        <vertAlign val="superscript"/>
        <sz val="11"/>
        <color theme="1"/>
        <rFont val="Calibri"/>
        <family val="2"/>
        <scheme val="minor"/>
      </rPr>
      <t>3</t>
    </r>
  </si>
  <si>
    <r>
      <t>Cost per Lane Mile ($2016)</t>
    </r>
    <r>
      <rPr>
        <b/>
        <vertAlign val="superscript"/>
        <sz val="11"/>
        <color theme="1"/>
        <rFont val="Calibri"/>
        <family val="2"/>
        <scheme val="minor"/>
      </rPr>
      <t>4</t>
    </r>
  </si>
  <si>
    <r>
      <t>Maintenance Cost ($2016)</t>
    </r>
    <r>
      <rPr>
        <b/>
        <vertAlign val="superscript"/>
        <sz val="11"/>
        <color theme="1"/>
        <rFont val="Calibri"/>
        <family val="2"/>
        <scheme val="minor"/>
      </rPr>
      <t>5, 6</t>
    </r>
  </si>
  <si>
    <t>5. Pavement quality for new pavement (Build) drops approximately 40% over 75% from its initial life (i.e. 22.5 years)</t>
  </si>
  <si>
    <t>Southeast Michigan Council of Governments (SEMCOG). Status of Pavement Management Systems (PMS) in Southeast Michigan. May 2003.</t>
  </si>
  <si>
    <t>A 2.5% increase in maintenance costs is applied to each subsequent year following 2016 to account for the increasing maintenance needs due to continous pavement deterioration and omission of any significant reconstruction activities from the corridor.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</si>
</sst>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0000"/>
    <numFmt numFmtId="165" formatCode="_(&quot;$&quot;* #,##0_);_(&quot;$&quot;* \(#,##0\);_(&quot;$&quot;* &quot;-&quot;??_);_(@_)"/>
    <numFmt numFmtId="166" formatCode="_(* #,##0_);_(* \(#,##0\);_(* &quot;-&quot;??_);_(@_)"/>
    <numFmt numFmtId="167" formatCode="0.0%"/>
    <numFmt numFmtId="168" formatCode="0.0000"/>
    <numFmt numFmtId="169" formatCode="0.000"/>
    <numFmt numFmtId="170" formatCode="_(&quot;$&quot;* #,##0.0_);_(&quot;$&quot;* \(#,##0.0\);_(&quot;$&quot;* &quot;-&quot;??_);_(@_)"/>
    <numFmt numFmtId="171" formatCode="0.0"/>
    <numFmt numFmtId="172" formatCode="_(&quot;$&quot;* #,##0.0000_);_(&quot;$&quot;* \(#,##0.0000\);_(&quot;$&quot;* &quot;-&quot;??_);_(@_)"/>
    <numFmt numFmtId="173" formatCode="_(&quot;$&quot;* #,##0.00000_);_(&quot;$&quot;* \(#,##0.00000\);_(&quot;$&quot;* &quot;-&quot;??_);_(@_)"/>
    <numFmt numFmtId="174" formatCode="_(* #,##0.0_);_(* \(#,##0.0\);_(* &quot;-&quot;??_);_(@_)"/>
  </numFmts>
  <fonts count="27"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11"/>
      <name val="Calibri"/>
      <family val="2"/>
      <scheme val="minor"/>
    </font>
    <font>
      <b/>
      <vertAlign val="subscript"/>
      <sz val="11"/>
      <color theme="1"/>
      <name val="Calibri"/>
      <family val="2"/>
      <scheme val="minor"/>
    </font>
    <font>
      <b/>
      <i/>
      <sz val="11"/>
      <color theme="1"/>
      <name val="Calibri"/>
      <family val="2"/>
      <scheme val="minor"/>
    </font>
    <font>
      <i/>
      <sz val="11"/>
      <name val="Calibri"/>
      <family val="2"/>
      <scheme val="minor"/>
    </font>
    <font>
      <u/>
      <sz val="11"/>
      <color theme="10"/>
      <name val="Calibri"/>
      <family val="2"/>
      <scheme val="minor"/>
    </font>
    <font>
      <i/>
      <sz val="10"/>
      <color theme="1"/>
      <name val="Calibri"/>
      <family val="2"/>
      <scheme val="minor"/>
    </font>
    <font>
      <i/>
      <u/>
      <sz val="11"/>
      <color theme="10"/>
      <name val="Calibri"/>
      <family val="2"/>
      <scheme val="minor"/>
    </font>
    <font>
      <sz val="10"/>
      <color theme="1"/>
      <name val="Calibri"/>
      <family val="2"/>
      <scheme val="minor"/>
    </font>
    <font>
      <u/>
      <sz val="10"/>
      <color theme="10"/>
      <name val="Calibri"/>
      <family val="2"/>
      <scheme val="minor"/>
    </font>
    <font>
      <b/>
      <sz val="11"/>
      <color theme="0"/>
      <name val="Calibri"/>
      <family val="2"/>
      <scheme val="minor"/>
    </font>
    <font>
      <b/>
      <sz val="11"/>
      <name val="Calibri"/>
      <family val="2"/>
      <scheme val="minor"/>
    </font>
    <font>
      <i/>
      <u/>
      <sz val="11"/>
      <color theme="4" tint="-0.249977111117893"/>
      <name val="Calibri"/>
      <family val="2"/>
      <scheme val="minor"/>
    </font>
    <font>
      <i/>
      <sz val="9"/>
      <color theme="1"/>
      <name val="Calibri"/>
      <family val="2"/>
      <scheme val="minor"/>
    </font>
    <font>
      <i/>
      <sz val="9"/>
      <name val="Calibri"/>
      <family val="2"/>
      <scheme val="minor"/>
    </font>
    <font>
      <b/>
      <vertAlign val="superscript"/>
      <sz val="11"/>
      <name val="Calibri"/>
      <family val="2"/>
      <scheme val="minor"/>
    </font>
    <font>
      <b/>
      <vertAlign val="subscript"/>
      <sz val="11"/>
      <name val="Calibri"/>
      <family val="2"/>
      <scheme val="minor"/>
    </font>
    <font>
      <b/>
      <vertAlign val="subscript"/>
      <sz val="11"/>
      <color theme="0"/>
      <name val="Calibri"/>
      <family val="2"/>
      <scheme val="minor"/>
    </font>
    <font>
      <i/>
      <vertAlign val="subscript"/>
      <sz val="11"/>
      <color theme="1"/>
      <name val="Calibri"/>
      <family val="2"/>
      <scheme val="minor"/>
    </font>
    <font>
      <b/>
      <vertAlign val="superscript"/>
      <sz val="11"/>
      <color theme="1"/>
      <name val="Calibri"/>
      <family val="2"/>
      <scheme val="minor"/>
    </font>
    <font>
      <vertAlign val="subscript"/>
      <sz val="11"/>
      <color theme="1"/>
      <name val="Calibri"/>
      <family val="2"/>
      <scheme val="minor"/>
    </font>
    <font>
      <sz val="11"/>
      <color theme="1"/>
      <name val="Arial Narrow"/>
      <family val="2"/>
    </font>
    <font>
      <b/>
      <sz val="10"/>
      <color theme="1"/>
      <name val="Arial Narrow"/>
      <family val="2"/>
    </font>
    <font>
      <sz val="10"/>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39997558519241921"/>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theme="0" tint="-0.249977111117893"/>
      </left>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right/>
      <top style="thin">
        <color theme="0" tint="-0.249977111117893"/>
      </top>
      <bottom style="medium">
        <color indexed="64"/>
      </bottom>
      <diagonal/>
    </border>
    <border>
      <left/>
      <right style="thin">
        <color indexed="64"/>
      </right>
      <top style="thin">
        <color theme="0" tint="-0.249977111117893"/>
      </top>
      <bottom style="medium">
        <color indexed="64"/>
      </bottom>
      <diagonal/>
    </border>
    <border>
      <left style="thin">
        <color indexed="64"/>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cellStyleXfs>
  <cellXfs count="635">
    <xf numFmtId="0" fontId="0" fillId="0" borderId="0" xfId="0"/>
    <xf numFmtId="0" fontId="1" fillId="0" borderId="0" xfId="0" applyFont="1" applyAlignment="1">
      <alignment horizontal="center"/>
    </xf>
    <xf numFmtId="0" fontId="2" fillId="0" borderId="0" xfId="0" applyFont="1"/>
    <xf numFmtId="0" fontId="0" fillId="0" borderId="0" xfId="0" applyAlignment="1">
      <alignment wrapText="1"/>
    </xf>
    <xf numFmtId="0" fontId="0" fillId="0" borderId="0" xfId="0" applyAlignment="1">
      <alignment horizontal="center"/>
    </xf>
    <xf numFmtId="0" fontId="1" fillId="0" borderId="0" xfId="0" applyFont="1"/>
    <xf numFmtId="0" fontId="0" fillId="0" borderId="1" xfId="0" applyBorder="1" applyAlignment="1">
      <alignment horizontal="center"/>
    </xf>
    <xf numFmtId="165" fontId="0" fillId="0" borderId="1" xfId="1" applyNumberFormat="1" applyFont="1" applyBorder="1"/>
    <xf numFmtId="0" fontId="1" fillId="0" borderId="1" xfId="0" applyFont="1" applyBorder="1"/>
    <xf numFmtId="0" fontId="1" fillId="2" borderId="1" xfId="0" applyFont="1" applyFill="1" applyBorder="1" applyAlignment="1">
      <alignment horizontal="center" wrapText="1"/>
    </xf>
    <xf numFmtId="0" fontId="1" fillId="2" borderId="1" xfId="0" applyFont="1" applyFill="1" applyBorder="1"/>
    <xf numFmtId="0" fontId="1" fillId="2" borderId="1" xfId="0" applyFont="1" applyFill="1" applyBorder="1" applyAlignment="1">
      <alignment horizontal="center"/>
    </xf>
    <xf numFmtId="44" fontId="0" fillId="0" borderId="1" xfId="1" applyFont="1" applyBorder="1"/>
    <xf numFmtId="0" fontId="0" fillId="0" borderId="7" xfId="0" applyFill="1" applyBorder="1"/>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1" xfId="0" applyBorder="1"/>
    <xf numFmtId="0" fontId="0" fillId="0" borderId="1" xfId="0" applyFill="1" applyBorder="1"/>
    <xf numFmtId="0" fontId="1" fillId="0" borderId="0" xfId="0" applyFont="1" applyAlignment="1">
      <alignment horizontal="center" vertical="center" wrapText="1"/>
    </xf>
    <xf numFmtId="0" fontId="0" fillId="0" borderId="12" xfId="0" applyFill="1" applyBorder="1"/>
    <xf numFmtId="0" fontId="1" fillId="2" borderId="1" xfId="0" applyFont="1" applyFill="1" applyBorder="1" applyAlignment="1">
      <alignment horizontal="center" vertical="center"/>
    </xf>
    <xf numFmtId="0" fontId="6" fillId="0" borderId="0" xfId="0" applyFont="1"/>
    <xf numFmtId="0" fontId="0" fillId="0" borderId="0" xfId="0" applyFont="1"/>
    <xf numFmtId="0" fontId="0" fillId="0" borderId="1" xfId="0" applyFont="1" applyFill="1" applyBorder="1" applyAlignment="1">
      <alignment horizontal="left"/>
    </xf>
    <xf numFmtId="0" fontId="0" fillId="0" borderId="1" xfId="0" applyFont="1" applyBorder="1"/>
    <xf numFmtId="0" fontId="0" fillId="0" borderId="1" xfId="0" applyFont="1" applyFill="1" applyBorder="1"/>
    <xf numFmtId="1" fontId="0" fillId="0" borderId="1" xfId="3" applyNumberFormat="1" applyFont="1" applyBorder="1"/>
    <xf numFmtId="168" fontId="0" fillId="0" borderId="1" xfId="3" applyNumberFormat="1" applyFont="1" applyBorder="1"/>
    <xf numFmtId="0" fontId="0" fillId="0" borderId="1" xfId="0" applyFont="1" applyFill="1" applyBorder="1" applyAlignment="1">
      <alignment horizontal="right"/>
    </xf>
    <xf numFmtId="0" fontId="0" fillId="0" borderId="1" xfId="0" applyBorder="1" applyAlignment="1">
      <alignment horizontal="right"/>
    </xf>
    <xf numFmtId="0" fontId="0" fillId="0" borderId="0" xfId="0" applyFont="1" applyFill="1" applyAlignment="1">
      <alignment vertical="center" wrapText="1"/>
    </xf>
    <xf numFmtId="10" fontId="0" fillId="0" borderId="0" xfId="3" applyNumberFormat="1" applyFont="1"/>
    <xf numFmtId="0" fontId="8" fillId="0" borderId="0" xfId="4"/>
    <xf numFmtId="168" fontId="0" fillId="0" borderId="1" xfId="0" applyNumberFormat="1" applyBorder="1" applyAlignment="1">
      <alignment horizontal="center"/>
    </xf>
    <xf numFmtId="0" fontId="1" fillId="0" borderId="0" xfId="0" applyFont="1" applyFill="1" applyAlignment="1">
      <alignment wrapText="1"/>
    </xf>
    <xf numFmtId="0" fontId="1" fillId="2" borderId="1" xfId="0" applyFont="1" applyFill="1" applyBorder="1" applyAlignment="1">
      <alignment horizontal="center"/>
    </xf>
    <xf numFmtId="0" fontId="1" fillId="0" borderId="0" xfId="0" applyFont="1" applyAlignment="1">
      <alignment horizontal="left"/>
    </xf>
    <xf numFmtId="0" fontId="10" fillId="0" borderId="0" xfId="4" applyFont="1"/>
    <xf numFmtId="0" fontId="1" fillId="0" borderId="0" xfId="0" applyFont="1" applyBorder="1"/>
    <xf numFmtId="44" fontId="0" fillId="0" borderId="0" xfId="1" applyNumberFormat="1" applyFont="1" applyBorder="1"/>
    <xf numFmtId="0" fontId="6"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Alignment="1">
      <alignment horizontal="center"/>
    </xf>
    <xf numFmtId="0" fontId="9" fillId="0" borderId="0" xfId="0" applyFont="1"/>
    <xf numFmtId="0" fontId="12" fillId="0" borderId="0" xfId="4" applyFont="1"/>
    <xf numFmtId="0" fontId="8" fillId="0" borderId="0" xfId="4" applyFont="1"/>
    <xf numFmtId="0" fontId="2" fillId="0" borderId="14" xfId="0" applyFont="1" applyFill="1" applyBorder="1"/>
    <xf numFmtId="0" fontId="2" fillId="0" borderId="0" xfId="0" applyFont="1" applyFill="1" applyBorder="1"/>
    <xf numFmtId="0" fontId="1" fillId="0" borderId="0" xfId="0" applyFont="1" applyBorder="1" applyAlignment="1">
      <alignment horizontal="left"/>
    </xf>
    <xf numFmtId="168" fontId="0" fillId="0" borderId="0" xfId="0" applyNumberFormat="1" applyBorder="1" applyAlignment="1">
      <alignment horizontal="center"/>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4" fillId="0" borderId="26" xfId="0" applyFont="1" applyFill="1" applyBorder="1" applyAlignment="1">
      <alignment horizontal="center"/>
    </xf>
    <xf numFmtId="0" fontId="4" fillId="0" borderId="0" xfId="0" applyFont="1" applyFill="1"/>
    <xf numFmtId="0" fontId="1" fillId="0" borderId="0" xfId="0" applyFont="1" applyAlignment="1"/>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0" fillId="0" borderId="7" xfId="0" applyBorder="1" applyAlignment="1">
      <alignment horizontal="center"/>
    </xf>
    <xf numFmtId="167" fontId="0" fillId="0" borderId="1" xfId="3" applyNumberFormat="1" applyFont="1" applyBorder="1" applyAlignment="1">
      <alignment horizontal="center"/>
    </xf>
    <xf numFmtId="167" fontId="0" fillId="0" borderId="5" xfId="3" applyNumberFormat="1" applyFont="1"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2" fontId="0" fillId="0" borderId="7" xfId="0" applyNumberFormat="1" applyBorder="1" applyAlignment="1">
      <alignment horizontal="center"/>
    </xf>
    <xf numFmtId="2" fontId="0" fillId="0" borderId="1" xfId="0" applyNumberFormat="1" applyBorder="1" applyAlignment="1">
      <alignment horizontal="center"/>
    </xf>
    <xf numFmtId="2" fontId="0" fillId="0" borderId="8" xfId="0" applyNumberForma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67" fontId="0" fillId="0" borderId="16" xfId="3" applyNumberFormat="1" applyFont="1" applyBorder="1" applyAlignment="1">
      <alignment horizontal="center"/>
    </xf>
    <xf numFmtId="167" fontId="0" fillId="0" borderId="23" xfId="3" applyNumberFormat="1" applyFont="1" applyBorder="1" applyAlignment="1">
      <alignment horizontal="center"/>
    </xf>
    <xf numFmtId="0" fontId="0" fillId="0" borderId="21" xfId="0"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2" fontId="0" fillId="0" borderId="21" xfId="0" applyNumberFormat="1" applyBorder="1" applyAlignment="1">
      <alignment horizontal="center"/>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1" xfId="0" applyBorder="1" applyAlignment="1"/>
    <xf numFmtId="166" fontId="0" fillId="0" borderId="1" xfId="2" applyNumberFormat="1" applyFont="1" applyBorder="1" applyAlignment="1"/>
    <xf numFmtId="165" fontId="0" fillId="0" borderId="1" xfId="1" applyNumberFormat="1" applyFont="1" applyBorder="1" applyAlignment="1"/>
    <xf numFmtId="166" fontId="0" fillId="0" borderId="1" xfId="0" applyNumberFormat="1" applyBorder="1" applyAlignment="1"/>
    <xf numFmtId="0" fontId="0" fillId="0" borderId="0" xfId="0" applyAlignment="1"/>
    <xf numFmtId="0" fontId="1" fillId="2" borderId="1" xfId="0" applyFont="1" applyFill="1" applyBorder="1" applyAlignment="1"/>
    <xf numFmtId="165" fontId="1" fillId="2" borderId="1" xfId="0" applyNumberFormat="1" applyFont="1" applyFill="1" applyBorder="1" applyAlignment="1"/>
    <xf numFmtId="0" fontId="0" fillId="0" borderId="28" xfId="0" applyFill="1" applyBorder="1"/>
    <xf numFmtId="0" fontId="0" fillId="0" borderId="7" xfId="0" applyFill="1" applyBorder="1" applyAlignment="1">
      <alignment horizontal="right"/>
    </xf>
    <xf numFmtId="0" fontId="1" fillId="2" borderId="6" xfId="0" applyFont="1" applyFill="1" applyBorder="1" applyAlignment="1">
      <alignment horizontal="center"/>
    </xf>
    <xf numFmtId="0" fontId="1" fillId="2" borderId="6" xfId="0" applyFont="1" applyFill="1" applyBorder="1" applyAlignment="1">
      <alignment horizontal="center" vertical="center" wrapText="1"/>
    </xf>
    <xf numFmtId="165" fontId="0" fillId="0" borderId="0" xfId="1" applyNumberFormat="1" applyFont="1"/>
    <xf numFmtId="44" fontId="0" fillId="0" borderId="18" xfId="1" applyFont="1" applyFill="1" applyBorder="1" applyAlignment="1">
      <alignment horizontal="right"/>
    </xf>
    <xf numFmtId="44" fontId="0" fillId="0" borderId="12" xfId="1" applyFont="1" applyFill="1" applyBorder="1" applyAlignment="1">
      <alignment horizontal="right"/>
    </xf>
    <xf numFmtId="44" fontId="0" fillId="0" borderId="30" xfId="1" applyFont="1" applyFill="1" applyBorder="1" applyAlignment="1">
      <alignment horizontal="right"/>
    </xf>
    <xf numFmtId="165" fontId="0" fillId="0" borderId="12" xfId="1" applyNumberFormat="1" applyFont="1" applyFill="1" applyBorder="1" applyAlignment="1">
      <alignment horizontal="right"/>
    </xf>
    <xf numFmtId="0" fontId="0" fillId="0" borderId="0" xfId="0" applyAlignment="1">
      <alignment horizontal="left"/>
    </xf>
    <xf numFmtId="0" fontId="0" fillId="0" borderId="1" xfId="0" applyFill="1" applyBorder="1" applyAlignment="1">
      <alignment horizontal="center"/>
    </xf>
    <xf numFmtId="0" fontId="8" fillId="0" borderId="1" xfId="4" applyBorder="1" applyAlignment="1">
      <alignment horizontal="left"/>
    </xf>
    <xf numFmtId="0" fontId="14" fillId="0" borderId="0" xfId="0" applyFont="1" applyFill="1" applyAlignment="1">
      <alignment horizontal="center"/>
    </xf>
    <xf numFmtId="0" fontId="4" fillId="0" borderId="0" xfId="0" applyFont="1" applyFill="1" applyAlignment="1">
      <alignment vertical="center" wrapText="1"/>
    </xf>
    <xf numFmtId="0" fontId="1" fillId="2" borderId="1" xfId="0" applyFont="1" applyFill="1" applyBorder="1" applyAlignment="1">
      <alignment horizontal="center" vertical="center" wrapText="1"/>
    </xf>
    <xf numFmtId="0" fontId="14" fillId="2" borderId="2" xfId="0" applyFont="1" applyFill="1" applyBorder="1" applyAlignment="1">
      <alignment horizontal="center"/>
    </xf>
    <xf numFmtId="2" fontId="0" fillId="0" borderId="0" xfId="0" applyNumberFormat="1"/>
    <xf numFmtId="0" fontId="4" fillId="0" borderId="0" xfId="0" applyFont="1" applyFill="1" applyBorder="1" applyAlignment="1">
      <alignment horizontal="center"/>
    </xf>
    <xf numFmtId="0" fontId="14" fillId="0" borderId="0" xfId="0" applyFont="1" applyFill="1" applyBorder="1" applyAlignment="1">
      <alignment vertical="center"/>
    </xf>
    <xf numFmtId="0" fontId="4" fillId="0" borderId="46" xfId="0" applyFont="1" applyFill="1" applyBorder="1" applyAlignment="1">
      <alignment horizontal="center"/>
    </xf>
    <xf numFmtId="0" fontId="4" fillId="0" borderId="26" xfId="0" applyFont="1" applyFill="1" applyBorder="1" applyAlignment="1">
      <alignment horizontal="center"/>
    </xf>
    <xf numFmtId="0" fontId="4" fillId="0" borderId="34" xfId="0" applyFont="1" applyFill="1" applyBorder="1" applyAlignment="1">
      <alignment horizontal="center"/>
    </xf>
    <xf numFmtId="0" fontId="4" fillId="0" borderId="42" xfId="0" applyFont="1" applyFill="1" applyBorder="1" applyAlignment="1">
      <alignment horizontal="center"/>
    </xf>
    <xf numFmtId="0" fontId="4" fillId="0" borderId="32" xfId="0" applyFont="1" applyFill="1" applyBorder="1" applyAlignment="1">
      <alignment horizontal="center"/>
    </xf>
    <xf numFmtId="0" fontId="4" fillId="0" borderId="50" xfId="0" applyFont="1" applyFill="1" applyBorder="1" applyAlignment="1">
      <alignment horizontal="center"/>
    </xf>
    <xf numFmtId="0" fontId="4" fillId="0" borderId="51" xfId="0" applyFont="1" applyFill="1" applyBorder="1" applyAlignment="1">
      <alignment horizontal="center"/>
    </xf>
    <xf numFmtId="0" fontId="4" fillId="0" borderId="0" xfId="0" applyFont="1" applyFill="1" applyAlignment="1">
      <alignment horizontal="center"/>
    </xf>
    <xf numFmtId="0" fontId="14" fillId="0" borderId="0" xfId="0" applyFont="1" applyFill="1"/>
    <xf numFmtId="171" fontId="4" fillId="0" borderId="3" xfId="0" applyNumberFormat="1" applyFont="1" applyFill="1" applyBorder="1" applyAlignment="1">
      <alignment horizontal="center"/>
    </xf>
    <xf numFmtId="0" fontId="2" fillId="0" borderId="0" xfId="0" applyFont="1" applyFill="1"/>
    <xf numFmtId="0" fontId="0" fillId="0" borderId="0" xfId="0" applyFill="1" applyAlignment="1">
      <alignment horizontal="center"/>
    </xf>
    <xf numFmtId="0" fontId="0" fillId="0" borderId="0" xfId="0" applyFill="1"/>
    <xf numFmtId="0" fontId="0" fillId="0" borderId="0" xfId="0" applyFont="1" applyAlignment="1">
      <alignment horizontal="right"/>
    </xf>
    <xf numFmtId="0" fontId="6" fillId="0" borderId="0" xfId="0" applyFont="1" applyAlignment="1"/>
    <xf numFmtId="0" fontId="2" fillId="0" borderId="0" xfId="0" applyFont="1" applyAlignment="1"/>
    <xf numFmtId="0" fontId="2" fillId="0" borderId="0" xfId="0" applyFont="1" applyFill="1" applyAlignment="1"/>
    <xf numFmtId="0" fontId="14" fillId="2" borderId="9" xfId="0" applyFont="1" applyFill="1" applyBorder="1" applyAlignment="1">
      <alignment horizontal="center"/>
    </xf>
    <xf numFmtId="0" fontId="17" fillId="2" borderId="17"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horizontal="center"/>
    </xf>
    <xf numFmtId="0" fontId="0" fillId="0" borderId="42" xfId="0" applyFont="1" applyBorder="1" applyAlignment="1">
      <alignment horizontal="center"/>
    </xf>
    <xf numFmtId="171" fontId="4" fillId="0" borderId="0" xfId="0" applyNumberFormat="1" applyFont="1" applyFill="1" applyBorder="1" applyAlignment="1">
      <alignment horizontal="center"/>
    </xf>
    <xf numFmtId="171" fontId="4" fillId="0" borderId="42" xfId="0" applyNumberFormat="1" applyFont="1" applyFill="1" applyBorder="1" applyAlignment="1">
      <alignment horizontal="center"/>
    </xf>
    <xf numFmtId="0" fontId="0" fillId="0" borderId="26" xfId="0" applyFont="1" applyBorder="1" applyAlignment="1">
      <alignment horizontal="center"/>
    </xf>
    <xf numFmtId="0" fontId="0" fillId="0" borderId="32" xfId="0" applyFont="1" applyBorder="1" applyAlignment="1">
      <alignment horizontal="center"/>
    </xf>
    <xf numFmtId="171" fontId="4" fillId="0" borderId="26" xfId="0" applyNumberFormat="1" applyFont="1" applyFill="1" applyBorder="1" applyAlignment="1">
      <alignment horizontal="center"/>
    </xf>
    <xf numFmtId="171" fontId="4" fillId="0" borderId="32" xfId="0" applyNumberFormat="1" applyFont="1" applyFill="1" applyBorder="1" applyAlignment="1">
      <alignment horizontal="center"/>
    </xf>
    <xf numFmtId="0" fontId="0" fillId="0" borderId="46" xfId="0" applyFont="1" applyBorder="1" applyAlignment="1">
      <alignment horizontal="center"/>
    </xf>
    <xf numFmtId="0" fontId="0" fillId="0" borderId="34" xfId="0" applyFont="1" applyBorder="1" applyAlignment="1">
      <alignment horizontal="center"/>
    </xf>
    <xf numFmtId="171" fontId="4" fillId="0" borderId="46" xfId="0" applyNumberFormat="1" applyFont="1" applyFill="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171" fontId="4" fillId="0" borderId="50" xfId="0" applyNumberFormat="1" applyFont="1" applyFill="1" applyBorder="1" applyAlignment="1">
      <alignment horizontal="center"/>
    </xf>
    <xf numFmtId="171" fontId="4" fillId="0" borderId="51" xfId="0" applyNumberFormat="1" applyFont="1" applyFill="1" applyBorder="1" applyAlignment="1">
      <alignment horizontal="center"/>
    </xf>
    <xf numFmtId="171" fontId="4" fillId="0" borderId="55" xfId="0" applyNumberFormat="1" applyFont="1" applyFill="1" applyBorder="1" applyAlignment="1">
      <alignment horizontal="center"/>
    </xf>
    <xf numFmtId="171" fontId="4" fillId="0" borderId="56" xfId="0" applyNumberFormat="1" applyFont="1" applyFill="1" applyBorder="1" applyAlignment="1">
      <alignment horizontal="center"/>
    </xf>
    <xf numFmtId="0" fontId="4" fillId="0" borderId="56" xfId="0" applyFont="1" applyFill="1" applyBorder="1" applyAlignment="1">
      <alignment horizontal="left"/>
    </xf>
    <xf numFmtId="0" fontId="4" fillId="0" borderId="42" xfId="0" applyFont="1" applyFill="1" applyBorder="1" applyAlignment="1">
      <alignment horizontal="left"/>
    </xf>
    <xf numFmtId="0" fontId="4" fillId="0" borderId="32" xfId="0" applyFont="1" applyFill="1" applyBorder="1" applyAlignment="1">
      <alignment horizontal="left"/>
    </xf>
    <xf numFmtId="0" fontId="4" fillId="0" borderId="34" xfId="0" applyFont="1" applyFill="1" applyBorder="1" applyAlignment="1">
      <alignment horizontal="left"/>
    </xf>
    <xf numFmtId="0" fontId="4" fillId="0" borderId="51" xfId="0" applyFont="1" applyFill="1" applyBorder="1" applyAlignment="1">
      <alignment horizontal="left"/>
    </xf>
    <xf numFmtId="2" fontId="4" fillId="0" borderId="0" xfId="0" applyNumberFormat="1" applyFont="1" applyFill="1" applyBorder="1" applyAlignment="1">
      <alignment horizontal="center"/>
    </xf>
    <xf numFmtId="2" fontId="4" fillId="0" borderId="26" xfId="0" applyNumberFormat="1" applyFont="1" applyFill="1" applyBorder="1" applyAlignment="1">
      <alignment horizontal="center"/>
    </xf>
    <xf numFmtId="2" fontId="4" fillId="0" borderId="46" xfId="0" applyNumberFormat="1" applyFont="1" applyFill="1" applyBorder="1" applyAlignment="1">
      <alignment horizontal="center"/>
    </xf>
    <xf numFmtId="2" fontId="4" fillId="0" borderId="50" xfId="0" applyNumberFormat="1" applyFont="1" applyFill="1" applyBorder="1" applyAlignment="1">
      <alignment horizontal="center"/>
    </xf>
    <xf numFmtId="2" fontId="4" fillId="0" borderId="55" xfId="0" applyNumberFormat="1" applyFont="1" applyFill="1" applyBorder="1" applyAlignment="1">
      <alignment horizontal="center"/>
    </xf>
    <xf numFmtId="0" fontId="4" fillId="0" borderId="0" xfId="0" applyFont="1" applyFill="1" applyBorder="1"/>
    <xf numFmtId="2" fontId="4" fillId="0" borderId="38" xfId="0" applyNumberFormat="1" applyFont="1" applyFill="1" applyBorder="1" applyAlignment="1">
      <alignment horizontal="center"/>
    </xf>
    <xf numFmtId="2" fontId="4" fillId="0" borderId="61" xfId="0" applyNumberFormat="1" applyFont="1" applyFill="1" applyBorder="1" applyAlignment="1">
      <alignment horizontal="center"/>
    </xf>
    <xf numFmtId="0" fontId="14" fillId="2" borderId="65" xfId="0" applyFont="1" applyFill="1" applyBorder="1" applyAlignment="1">
      <alignment horizontal="center" vertical="center"/>
    </xf>
    <xf numFmtId="0" fontId="14" fillId="2" borderId="66"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69" xfId="0" applyFont="1" applyFill="1" applyBorder="1" applyAlignment="1">
      <alignment horizontal="center" vertical="center"/>
    </xf>
    <xf numFmtId="0" fontId="14" fillId="2" borderId="70" xfId="0" applyFont="1" applyFill="1" applyBorder="1" applyAlignment="1">
      <alignment horizontal="center" vertical="center"/>
    </xf>
    <xf numFmtId="0" fontId="0" fillId="0" borderId="55" xfId="0" applyFont="1" applyBorder="1" applyAlignment="1">
      <alignment horizontal="center"/>
    </xf>
    <xf numFmtId="0" fontId="0" fillId="0" borderId="56" xfId="0" applyFont="1" applyBorder="1" applyAlignment="1">
      <alignment horizontal="center"/>
    </xf>
    <xf numFmtId="2" fontId="4" fillId="0" borderId="63" xfId="0" applyNumberFormat="1" applyFont="1" applyFill="1" applyBorder="1" applyAlignment="1">
      <alignment horizontal="center"/>
    </xf>
    <xf numFmtId="0" fontId="14" fillId="2" borderId="71" xfId="0" applyFont="1" applyFill="1" applyBorder="1" applyAlignment="1">
      <alignment horizontal="center" vertical="center"/>
    </xf>
    <xf numFmtId="2" fontId="4" fillId="0" borderId="39" xfId="0" applyNumberFormat="1" applyFont="1" applyFill="1" applyBorder="1" applyAlignment="1">
      <alignment horizontal="center"/>
    </xf>
    <xf numFmtId="2" fontId="4" fillId="0" borderId="47" xfId="0" applyNumberFormat="1" applyFont="1" applyFill="1" applyBorder="1" applyAlignment="1">
      <alignment horizontal="center"/>
    </xf>
    <xf numFmtId="2" fontId="14" fillId="2" borderId="59" xfId="0" applyNumberFormat="1" applyFont="1" applyFill="1" applyBorder="1" applyAlignment="1">
      <alignment horizontal="center"/>
    </xf>
    <xf numFmtId="2" fontId="14" fillId="2" borderId="27" xfId="0" applyNumberFormat="1" applyFont="1" applyFill="1" applyBorder="1" applyAlignment="1">
      <alignment horizontal="center"/>
    </xf>
    <xf numFmtId="2" fontId="14" fillId="2" borderId="29" xfId="0" applyNumberFormat="1" applyFont="1" applyFill="1" applyBorder="1" applyAlignment="1">
      <alignment horizontal="center"/>
    </xf>
    <xf numFmtId="2" fontId="14" fillId="2" borderId="62" xfId="0" applyNumberFormat="1" applyFont="1" applyFill="1" applyBorder="1" applyAlignment="1">
      <alignment horizontal="center"/>
    </xf>
    <xf numFmtId="2" fontId="14" fillId="2" borderId="48" xfId="0" applyNumberFormat="1" applyFont="1" applyFill="1" applyBorder="1" applyAlignment="1">
      <alignment horizontal="center"/>
    </xf>
    <xf numFmtId="2" fontId="14" fillId="2" borderId="56" xfId="0" applyNumberFormat="1" applyFont="1" applyFill="1" applyBorder="1" applyAlignment="1">
      <alignment horizontal="center"/>
    </xf>
    <xf numFmtId="2" fontId="14" fillId="2" borderId="42" xfId="0" applyNumberFormat="1" applyFont="1" applyFill="1" applyBorder="1" applyAlignment="1">
      <alignment horizontal="center"/>
    </xf>
    <xf numFmtId="2" fontId="14" fillId="2" borderId="51" xfId="0" applyNumberFormat="1" applyFont="1" applyFill="1" applyBorder="1" applyAlignment="1">
      <alignment horizontal="center"/>
    </xf>
    <xf numFmtId="2" fontId="14" fillId="2" borderId="32" xfId="0" applyNumberFormat="1" applyFont="1" applyFill="1" applyBorder="1" applyAlignment="1">
      <alignment horizontal="center"/>
    </xf>
    <xf numFmtId="2" fontId="14" fillId="2" borderId="34" xfId="0" applyNumberFormat="1" applyFont="1" applyFill="1" applyBorder="1" applyAlignment="1">
      <alignment horizontal="center"/>
    </xf>
    <xf numFmtId="171" fontId="4" fillId="0" borderId="36" xfId="0" applyNumberFormat="1" applyFont="1" applyFill="1" applyBorder="1" applyAlignment="1">
      <alignment horizontal="center"/>
    </xf>
    <xf numFmtId="171" fontId="4" fillId="0" borderId="14" xfId="0" applyNumberFormat="1" applyFont="1" applyFill="1" applyBorder="1" applyAlignment="1">
      <alignment horizontal="center"/>
    </xf>
    <xf numFmtId="171" fontId="4" fillId="0" borderId="17" xfId="0" applyNumberFormat="1" applyFont="1" applyFill="1" applyBorder="1" applyAlignment="1">
      <alignment horizontal="center"/>
    </xf>
    <xf numFmtId="0" fontId="14" fillId="2" borderId="40" xfId="0" applyFont="1" applyFill="1" applyBorder="1"/>
    <xf numFmtId="165" fontId="4" fillId="0" borderId="36" xfId="1" applyNumberFormat="1" applyFont="1" applyFill="1" applyBorder="1" applyAlignment="1">
      <alignment horizontal="center"/>
    </xf>
    <xf numFmtId="165" fontId="4" fillId="0" borderId="14" xfId="1" applyNumberFormat="1" applyFont="1" applyFill="1" applyBorder="1" applyAlignment="1">
      <alignment horizontal="center"/>
    </xf>
    <xf numFmtId="165" fontId="4" fillId="0" borderId="3" xfId="1" applyNumberFormat="1" applyFont="1" applyFill="1" applyBorder="1" applyAlignment="1">
      <alignment horizontal="center"/>
    </xf>
    <xf numFmtId="165" fontId="4" fillId="0" borderId="17" xfId="1" applyNumberFormat="1" applyFont="1" applyFill="1" applyBorder="1" applyAlignment="1">
      <alignment horizontal="center"/>
    </xf>
    <xf numFmtId="165" fontId="4" fillId="0" borderId="42" xfId="1" applyNumberFormat="1" applyFont="1" applyFill="1" applyBorder="1" applyAlignment="1">
      <alignment horizontal="center"/>
    </xf>
    <xf numFmtId="165" fontId="4" fillId="0" borderId="32" xfId="1" applyNumberFormat="1" applyFont="1" applyFill="1" applyBorder="1" applyAlignment="1">
      <alignment horizontal="center"/>
    </xf>
    <xf numFmtId="165" fontId="4" fillId="0" borderId="56" xfId="1" applyNumberFormat="1" applyFont="1" applyFill="1" applyBorder="1" applyAlignment="1">
      <alignment horizontal="center"/>
    </xf>
    <xf numFmtId="165" fontId="4" fillId="0" borderId="51" xfId="1" applyNumberFormat="1" applyFont="1" applyFill="1" applyBorder="1" applyAlignment="1">
      <alignment horizontal="center"/>
    </xf>
    <xf numFmtId="171" fontId="0" fillId="0" borderId="1" xfId="0" applyNumberFormat="1" applyFill="1" applyBorder="1" applyAlignment="1">
      <alignment horizontal="center"/>
    </xf>
    <xf numFmtId="165" fontId="0" fillId="0" borderId="3" xfId="1" applyNumberFormat="1" applyFont="1" applyBorder="1" applyAlignment="1"/>
    <xf numFmtId="0" fontId="16" fillId="2" borderId="3" xfId="0" applyFont="1" applyFill="1" applyBorder="1" applyAlignment="1">
      <alignment horizontal="center" vertical="center" wrapText="1"/>
    </xf>
    <xf numFmtId="171" fontId="0" fillId="0" borderId="3" xfId="0" applyNumberFormat="1" applyBorder="1" applyAlignment="1">
      <alignment horizontal="right"/>
    </xf>
    <xf numFmtId="171" fontId="0" fillId="0" borderId="1" xfId="0" applyNumberFormat="1" applyBorder="1" applyAlignment="1">
      <alignment horizontal="right"/>
    </xf>
    <xf numFmtId="0" fontId="1" fillId="2" borderId="38" xfId="0" applyFont="1" applyFill="1" applyBorder="1" applyAlignment="1">
      <alignment horizontal="center" vertical="center" wrapText="1"/>
    </xf>
    <xf numFmtId="0" fontId="16" fillId="2" borderId="39" xfId="0" applyFont="1" applyFill="1" applyBorder="1" applyAlignment="1">
      <alignment horizontal="center" vertical="center" wrapText="1"/>
    </xf>
    <xf numFmtId="165" fontId="0" fillId="0" borderId="39" xfId="1" applyNumberFormat="1" applyFont="1" applyBorder="1" applyAlignment="1"/>
    <xf numFmtId="165" fontId="0" fillId="0" borderId="5" xfId="1" applyNumberFormat="1" applyFont="1" applyBorder="1" applyAlignment="1"/>
    <xf numFmtId="0" fontId="0" fillId="0" borderId="8" xfId="0" applyBorder="1" applyAlignment="1">
      <alignment horizontal="right"/>
    </xf>
    <xf numFmtId="0" fontId="0" fillId="0" borderId="7" xfId="0" applyBorder="1" applyAlignment="1">
      <alignment horizontal="right"/>
    </xf>
    <xf numFmtId="0" fontId="1" fillId="2" borderId="11" xfId="0" applyFont="1" applyFill="1" applyBorder="1" applyAlignment="1">
      <alignment horizontal="center" vertical="center" wrapText="1"/>
    </xf>
    <xf numFmtId="44" fontId="0" fillId="0" borderId="20" xfId="1" applyFont="1" applyFill="1" applyBorder="1" applyAlignment="1">
      <alignment horizontal="right"/>
    </xf>
    <xf numFmtId="44" fontId="0" fillId="0" borderId="13" xfId="1" applyFont="1" applyFill="1" applyBorder="1" applyAlignment="1">
      <alignment horizontal="right"/>
    </xf>
    <xf numFmtId="165" fontId="0" fillId="0" borderId="13" xfId="1" applyNumberFormat="1" applyFont="1" applyFill="1" applyBorder="1" applyAlignment="1">
      <alignment horizontal="right"/>
    </xf>
    <xf numFmtId="44" fontId="0" fillId="0" borderId="60" xfId="1" applyFont="1" applyFill="1" applyBorder="1" applyAlignment="1">
      <alignment horizontal="right"/>
    </xf>
    <xf numFmtId="165" fontId="0" fillId="0" borderId="12" xfId="0" applyNumberFormat="1" applyFill="1" applyBorder="1"/>
    <xf numFmtId="44" fontId="0" fillId="0" borderId="13" xfId="0" applyNumberFormat="1" applyFill="1" applyBorder="1"/>
    <xf numFmtId="44" fontId="0" fillId="0" borderId="8" xfId="0" applyNumberFormat="1" applyFill="1" applyBorder="1"/>
    <xf numFmtId="165" fontId="0" fillId="0" borderId="8" xfId="0" applyNumberFormat="1" applyFill="1" applyBorder="1"/>
    <xf numFmtId="165" fontId="0" fillId="0" borderId="30" xfId="0" applyNumberFormat="1" applyFill="1" applyBorder="1"/>
    <xf numFmtId="165" fontId="0" fillId="0" borderId="21" xfId="0" applyNumberFormat="1" applyFill="1" applyBorder="1"/>
    <xf numFmtId="0" fontId="1" fillId="2" borderId="72" xfId="0" applyFont="1" applyFill="1" applyBorder="1" applyAlignment="1">
      <alignment horizontal="center" vertical="center" wrapText="1"/>
    </xf>
    <xf numFmtId="0" fontId="0" fillId="0" borderId="26" xfId="0" applyFill="1" applyBorder="1" applyAlignment="1">
      <alignment horizontal="right"/>
    </xf>
    <xf numFmtId="0" fontId="0" fillId="0" borderId="44" xfId="0" applyFill="1" applyBorder="1" applyAlignment="1">
      <alignment horizontal="right"/>
    </xf>
    <xf numFmtId="0" fontId="0" fillId="0" borderId="46" xfId="0" applyFill="1" applyBorder="1" applyAlignment="1">
      <alignment horizontal="right"/>
    </xf>
    <xf numFmtId="0" fontId="1" fillId="2" borderId="6" xfId="0" applyFont="1" applyFill="1" applyBorder="1" applyAlignment="1"/>
    <xf numFmtId="165" fontId="0" fillId="0" borderId="13" xfId="0" applyNumberFormat="1" applyFill="1" applyBorder="1"/>
    <xf numFmtId="165" fontId="0" fillId="0" borderId="49" xfId="0" applyNumberFormat="1" applyFill="1" applyBorder="1"/>
    <xf numFmtId="165" fontId="0" fillId="0" borderId="64" xfId="0" applyNumberFormat="1" applyFill="1" applyBorder="1"/>
    <xf numFmtId="165" fontId="1" fillId="2" borderId="11" xfId="0" applyNumberFormat="1" applyFont="1" applyFill="1" applyBorder="1" applyAlignment="1">
      <alignment horizontal="center"/>
    </xf>
    <xf numFmtId="165" fontId="1" fillId="2" borderId="11" xfId="0" applyNumberFormat="1" applyFont="1" applyFill="1" applyBorder="1" applyAlignment="1"/>
    <xf numFmtId="165" fontId="0" fillId="0" borderId="0" xfId="0" applyNumberFormat="1"/>
    <xf numFmtId="0" fontId="13" fillId="0" borderId="0" xfId="0" applyFont="1" applyFill="1" applyAlignment="1">
      <alignment horizontal="center"/>
    </xf>
    <xf numFmtId="165" fontId="14" fillId="2" borderId="10" xfId="1" applyNumberFormat="1" applyFont="1" applyFill="1" applyBorder="1"/>
    <xf numFmtId="165" fontId="14" fillId="2" borderId="31" xfId="1" applyNumberFormat="1" applyFont="1" applyFill="1" applyBorder="1"/>
    <xf numFmtId="0" fontId="13" fillId="0" borderId="0" xfId="0" applyFont="1" applyFill="1" applyAlignment="1"/>
    <xf numFmtId="0" fontId="14" fillId="0" borderId="0" xfId="0" applyFont="1" applyFill="1" applyAlignment="1"/>
    <xf numFmtId="167" fontId="1" fillId="6" borderId="1" xfId="3" applyNumberFormat="1" applyFont="1" applyFill="1" applyBorder="1" applyAlignment="1">
      <alignment horizontal="center" vertical="center" wrapText="1"/>
    </xf>
    <xf numFmtId="167" fontId="1" fillId="5" borderId="1" xfId="3" applyNumberFormat="1" applyFont="1" applyFill="1" applyBorder="1" applyAlignment="1">
      <alignment horizontal="center" vertical="center" wrapText="1"/>
    </xf>
    <xf numFmtId="167" fontId="1" fillId="4" borderId="1" xfId="3" applyNumberFormat="1" applyFont="1" applyFill="1" applyBorder="1" applyAlignment="1">
      <alignment horizontal="center" vertical="center" wrapText="1"/>
    </xf>
    <xf numFmtId="167" fontId="1" fillId="5" borderId="8" xfId="3" applyNumberFormat="1" applyFont="1" applyFill="1" applyBorder="1" applyAlignment="1">
      <alignment horizontal="center" vertical="center" wrapText="1"/>
    </xf>
    <xf numFmtId="0" fontId="0" fillId="0" borderId="7" xfId="0" applyFont="1" applyFill="1" applyBorder="1" applyAlignment="1">
      <alignment horizontal="right"/>
    </xf>
    <xf numFmtId="168" fontId="0" fillId="0" borderId="8" xfId="3" applyNumberFormat="1" applyFont="1" applyBorder="1"/>
    <xf numFmtId="0" fontId="0" fillId="0" borderId="15" xfId="0" applyBorder="1" applyAlignment="1">
      <alignment horizontal="right"/>
    </xf>
    <xf numFmtId="168" fontId="0" fillId="0" borderId="16" xfId="3" applyNumberFormat="1" applyFont="1" applyBorder="1"/>
    <xf numFmtId="0" fontId="0" fillId="0" borderId="16" xfId="0" applyBorder="1" applyAlignment="1">
      <alignment horizontal="right"/>
    </xf>
    <xf numFmtId="0" fontId="0" fillId="0" borderId="21" xfId="0" applyBorder="1" applyAlignment="1">
      <alignment horizontal="right"/>
    </xf>
    <xf numFmtId="167" fontId="1" fillId="4" borderId="8" xfId="3" applyNumberFormat="1" applyFont="1" applyFill="1" applyBorder="1" applyAlignment="1">
      <alignment horizontal="center" vertical="center" wrapText="1"/>
    </xf>
    <xf numFmtId="167" fontId="1" fillId="6" borderId="8" xfId="3" applyNumberFormat="1" applyFont="1" applyFill="1" applyBorder="1" applyAlignment="1">
      <alignment horizontal="center" vertical="center" wrapText="1"/>
    </xf>
    <xf numFmtId="1" fontId="0" fillId="0" borderId="7" xfId="3" applyNumberFormat="1" applyFont="1" applyBorder="1"/>
    <xf numFmtId="1" fontId="0" fillId="0" borderId="15" xfId="3" applyNumberFormat="1" applyFont="1" applyBorder="1"/>
    <xf numFmtId="1" fontId="0" fillId="0" borderId="16" xfId="3" applyNumberFormat="1" applyFont="1" applyBorder="1"/>
    <xf numFmtId="168" fontId="0" fillId="0" borderId="21" xfId="3" applyNumberFormat="1" applyFont="1" applyBorder="1"/>
    <xf numFmtId="0" fontId="4" fillId="0" borderId="7" xfId="0" applyFont="1" applyFill="1" applyBorder="1" applyAlignment="1">
      <alignment horizontal="right"/>
    </xf>
    <xf numFmtId="2" fontId="0" fillId="0" borderId="8" xfId="3" applyNumberFormat="1" applyFont="1" applyBorder="1"/>
    <xf numFmtId="0" fontId="0" fillId="0" borderId="7" xfId="0" applyBorder="1"/>
    <xf numFmtId="0" fontId="0" fillId="0" borderId="15" xfId="0" applyBorder="1"/>
    <xf numFmtId="0" fontId="0" fillId="0" borderId="16" xfId="0" applyBorder="1"/>
    <xf numFmtId="0" fontId="0" fillId="0" borderId="16" xfId="0" applyFont="1" applyBorder="1"/>
    <xf numFmtId="2" fontId="0" fillId="0" borderId="21" xfId="3" applyNumberFormat="1" applyFont="1" applyBorder="1"/>
    <xf numFmtId="168" fontId="0" fillId="0" borderId="7" xfId="0" applyNumberFormat="1" applyBorder="1"/>
    <xf numFmtId="168" fontId="0" fillId="0" borderId="1" xfId="0" applyNumberFormat="1" applyBorder="1"/>
    <xf numFmtId="168" fontId="0" fillId="0" borderId="8" xfId="0" applyNumberFormat="1" applyBorder="1"/>
    <xf numFmtId="168" fontId="0" fillId="0" borderId="15" xfId="0" applyNumberFormat="1" applyBorder="1"/>
    <xf numFmtId="168" fontId="0" fillId="0" borderId="16" xfId="0" applyNumberFormat="1" applyBorder="1"/>
    <xf numFmtId="168" fontId="0" fillId="0" borderId="21" xfId="0" applyNumberFormat="1" applyBorder="1"/>
    <xf numFmtId="0" fontId="0" fillId="0" borderId="0" xfId="0" applyFont="1" applyFill="1"/>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2" fontId="0" fillId="0" borderId="1" xfId="2" applyNumberFormat="1" applyFont="1" applyBorder="1" applyAlignment="1"/>
    <xf numFmtId="168" fontId="0" fillId="0" borderId="0" xfId="0" applyNumberFormat="1"/>
    <xf numFmtId="170" fontId="0" fillId="0" borderId="12" xfId="0" applyNumberFormat="1" applyFill="1" applyBorder="1"/>
    <xf numFmtId="170" fontId="0" fillId="0" borderId="32" xfId="0" applyNumberFormat="1" applyFill="1" applyBorder="1"/>
    <xf numFmtId="165" fontId="1" fillId="2" borderId="31" xfId="0" applyNumberFormat="1" applyFont="1" applyFill="1" applyBorder="1" applyAlignment="1"/>
    <xf numFmtId="170" fontId="0" fillId="0" borderId="26" xfId="0" applyNumberFormat="1" applyFill="1" applyBorder="1"/>
    <xf numFmtId="165" fontId="1" fillId="2" borderId="72" xfId="0" applyNumberFormat="1" applyFont="1" applyFill="1" applyBorder="1" applyAlignment="1"/>
    <xf numFmtId="165" fontId="1" fillId="2" borderId="6" xfId="0" applyNumberFormat="1" applyFont="1" applyFill="1" applyBorder="1" applyAlignment="1"/>
    <xf numFmtId="170" fontId="1" fillId="2" borderId="6" xfId="0" applyNumberFormat="1" applyFont="1" applyFill="1" applyBorder="1" applyAlignment="1"/>
    <xf numFmtId="2" fontId="13" fillId="3" borderId="31" xfId="0" applyNumberFormat="1" applyFont="1" applyFill="1" applyBorder="1"/>
    <xf numFmtId="2" fontId="0" fillId="0" borderId="8" xfId="0" applyNumberFormat="1" applyBorder="1"/>
    <xf numFmtId="2" fontId="0" fillId="0" borderId="21" xfId="0" applyNumberFormat="1" applyBorder="1"/>
    <xf numFmtId="169" fontId="0" fillId="0" borderId="0" xfId="0" applyNumberFormat="1"/>
    <xf numFmtId="44" fontId="0" fillId="0" borderId="1" xfId="1" applyNumberFormat="1" applyFont="1" applyBorder="1"/>
    <xf numFmtId="0" fontId="2" fillId="0" borderId="0" xfId="0" applyFont="1" applyBorder="1"/>
    <xf numFmtId="165" fontId="0" fillId="0" borderId="1" xfId="1" applyNumberFormat="1" applyFont="1" applyFill="1" applyBorder="1" applyAlignment="1"/>
    <xf numFmtId="43" fontId="0" fillId="0" borderId="0" xfId="0" applyNumberFormat="1"/>
    <xf numFmtId="44" fontId="0" fillId="0" borderId="0" xfId="0" applyNumberFormat="1"/>
    <xf numFmtId="172" fontId="0" fillId="0" borderId="0" xfId="1" applyNumberFormat="1" applyFont="1"/>
    <xf numFmtId="173" fontId="0" fillId="0" borderId="0" xfId="0" applyNumberFormat="1"/>
    <xf numFmtId="0" fontId="1" fillId="0" borderId="1" xfId="0" applyFont="1" applyFill="1" applyBorder="1" applyAlignment="1">
      <alignment horizontal="center" wrapText="1"/>
    </xf>
    <xf numFmtId="0" fontId="1" fillId="0" borderId="1" xfId="0" applyFont="1" applyBorder="1" applyAlignment="1">
      <alignment horizontal="center"/>
    </xf>
    <xf numFmtId="168" fontId="0" fillId="0" borderId="1" xfId="0" applyNumberFormat="1" applyFont="1" applyFill="1" applyBorder="1" applyAlignment="1">
      <alignment horizontal="center" wrapText="1"/>
    </xf>
    <xf numFmtId="0" fontId="1" fillId="0" borderId="1" xfId="0" applyFont="1" applyFill="1" applyBorder="1"/>
    <xf numFmtId="165" fontId="0" fillId="0" borderId="1" xfId="1" applyNumberFormat="1" applyFont="1" applyFill="1" applyBorder="1"/>
    <xf numFmtId="44" fontId="0" fillId="0" borderId="1" xfId="1" applyNumberFormat="1" applyFont="1" applyFill="1" applyBorder="1"/>
    <xf numFmtId="0" fontId="1" fillId="0" borderId="0" xfId="0" applyFont="1" applyFill="1" applyBorder="1"/>
    <xf numFmtId="0" fontId="8" fillId="0" borderId="0" xfId="4" applyFill="1"/>
    <xf numFmtId="44" fontId="0" fillId="0" borderId="1" xfId="1" applyFont="1" applyFill="1" applyBorder="1"/>
    <xf numFmtId="0" fontId="1" fillId="2" borderId="31" xfId="0" applyFont="1" applyFill="1" applyBorder="1" applyAlignment="1">
      <alignment horizontal="center" vertical="center" wrapText="1"/>
    </xf>
    <xf numFmtId="1" fontId="0" fillId="0" borderId="0" xfId="3" applyNumberFormat="1" applyFont="1"/>
    <xf numFmtId="1" fontId="0" fillId="0" borderId="0" xfId="0" applyNumberFormat="1"/>
    <xf numFmtId="2" fontId="14" fillId="0" borderId="0" xfId="0" applyNumberFormat="1" applyFont="1" applyFill="1"/>
    <xf numFmtId="9" fontId="0" fillId="0" borderId="0" xfId="3" applyFont="1"/>
    <xf numFmtId="1" fontId="4" fillId="0" borderId="0" xfId="0" applyNumberFormat="1" applyFont="1" applyFill="1" applyBorder="1" applyAlignment="1">
      <alignment horizontal="center"/>
    </xf>
    <xf numFmtId="1" fontId="0" fillId="0" borderId="55" xfId="0" applyNumberFormat="1" applyFont="1" applyFill="1" applyBorder="1" applyAlignment="1">
      <alignment horizontal="center"/>
    </xf>
    <xf numFmtId="1" fontId="0" fillId="0" borderId="0" xfId="0" applyNumberFormat="1" applyFont="1" applyFill="1" applyBorder="1" applyAlignment="1">
      <alignment horizontal="center"/>
    </xf>
    <xf numFmtId="1" fontId="0" fillId="0" borderId="26" xfId="0" applyNumberFormat="1" applyFont="1" applyFill="1" applyBorder="1" applyAlignment="1">
      <alignment horizontal="center"/>
    </xf>
    <xf numFmtId="1" fontId="4" fillId="0" borderId="26" xfId="0" applyNumberFormat="1" applyFont="1" applyFill="1" applyBorder="1" applyAlignment="1">
      <alignment horizontal="center"/>
    </xf>
    <xf numFmtId="1" fontId="4" fillId="0" borderId="50" xfId="0" applyNumberFormat="1" applyFont="1" applyFill="1" applyBorder="1" applyAlignment="1">
      <alignment horizontal="center"/>
    </xf>
    <xf numFmtId="1" fontId="0" fillId="0" borderId="46" xfId="0" applyNumberFormat="1" applyFont="1" applyFill="1" applyBorder="1" applyAlignment="1">
      <alignment horizontal="center"/>
    </xf>
    <xf numFmtId="1" fontId="0" fillId="0" borderId="50" xfId="0" applyNumberFormat="1" applyFont="1" applyFill="1" applyBorder="1" applyAlignment="1">
      <alignment horizontal="center"/>
    </xf>
    <xf numFmtId="1" fontId="4" fillId="0" borderId="46" xfId="0" applyNumberFormat="1" applyFont="1" applyFill="1" applyBorder="1" applyAlignment="1">
      <alignment horizontal="center"/>
    </xf>
    <xf numFmtId="0" fontId="1" fillId="6"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4" borderId="1" xfId="0" applyFont="1" applyFill="1" applyBorder="1" applyAlignment="1">
      <alignment horizontal="center" vertical="center" wrapText="1"/>
    </xf>
    <xf numFmtId="1" fontId="0" fillId="0" borderId="1" xfId="0" applyNumberFormat="1" applyBorder="1"/>
    <xf numFmtId="0" fontId="1" fillId="5" borderId="7" xfId="0" applyFont="1" applyFill="1" applyBorder="1" applyAlignment="1">
      <alignment horizontal="center" vertical="center" wrapText="1"/>
    </xf>
    <xf numFmtId="1" fontId="0" fillId="0" borderId="7" xfId="0" applyNumberFormat="1" applyBorder="1"/>
    <xf numFmtId="1" fontId="0" fillId="0" borderId="15" xfId="0" applyNumberFormat="1" applyBorder="1"/>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1" fontId="0" fillId="0" borderId="16" xfId="0" applyNumberFormat="1" applyBorder="1"/>
    <xf numFmtId="0" fontId="1" fillId="6" borderId="8" xfId="0" applyFont="1" applyFill="1" applyBorder="1" applyAlignment="1">
      <alignment horizontal="center" vertical="center" wrapText="1"/>
    </xf>
    <xf numFmtId="1" fontId="0" fillId="0" borderId="8" xfId="0" applyNumberFormat="1" applyBorder="1"/>
    <xf numFmtId="1" fontId="0" fillId="0" borderId="21" xfId="0" applyNumberFormat="1" applyBorder="1"/>
    <xf numFmtId="1" fontId="0" fillId="0" borderId="4" xfId="0" applyNumberFormat="1" applyBorder="1"/>
    <xf numFmtId="1" fontId="0" fillId="0" borderId="25" xfId="0" applyNumberFormat="1" applyBorder="1"/>
    <xf numFmtId="1" fontId="0" fillId="0" borderId="5" xfId="0" applyNumberFormat="1" applyBorder="1"/>
    <xf numFmtId="1" fontId="0" fillId="0" borderId="23" xfId="0" applyNumberFormat="1" applyBorder="1"/>
    <xf numFmtId="164" fontId="0" fillId="0" borderId="53" xfId="3" applyNumberFormat="1" applyFont="1" applyBorder="1"/>
    <xf numFmtId="164" fontId="0" fillId="0" borderId="54" xfId="3" applyNumberFormat="1" applyFont="1" applyBorder="1"/>
    <xf numFmtId="164" fontId="0" fillId="0" borderId="76" xfId="3" applyNumberFormat="1" applyFont="1" applyBorder="1"/>
    <xf numFmtId="164" fontId="0" fillId="0" borderId="0" xfId="3" applyNumberFormat="1" applyFont="1" applyFill="1" applyBorder="1"/>
    <xf numFmtId="1" fontId="0" fillId="0" borderId="1" xfId="0" applyNumberFormat="1" applyBorder="1" applyAlignment="1">
      <alignment horizontal="right"/>
    </xf>
    <xf numFmtId="1" fontId="0" fillId="0" borderId="16" xfId="0" applyNumberFormat="1" applyBorder="1" applyAlignment="1">
      <alignment horizontal="right"/>
    </xf>
    <xf numFmtId="1" fontId="0" fillId="0" borderId="53" xfId="0" applyNumberFormat="1" applyBorder="1"/>
    <xf numFmtId="1" fontId="0" fillId="0" borderId="54" xfId="0" applyNumberFormat="1" applyBorder="1"/>
    <xf numFmtId="1" fontId="0" fillId="0" borderId="8" xfId="0" applyNumberFormat="1" applyBorder="1" applyAlignment="1">
      <alignment horizontal="right"/>
    </xf>
    <xf numFmtId="1" fontId="0" fillId="0" borderId="21" xfId="0" applyNumberFormat="1" applyBorder="1" applyAlignment="1">
      <alignment horizontal="right"/>
    </xf>
    <xf numFmtId="0" fontId="7" fillId="0" borderId="0" xfId="4" applyFont="1"/>
    <xf numFmtId="2" fontId="0" fillId="0" borderId="0" xfId="3" applyNumberFormat="1" applyFont="1"/>
    <xf numFmtId="1" fontId="0" fillId="0" borderId="1" xfId="0" applyNumberFormat="1" applyBorder="1" applyAlignment="1"/>
    <xf numFmtId="167" fontId="0" fillId="0" borderId="1" xfId="3" applyNumberFormat="1" applyFont="1" applyBorder="1" applyAlignment="1"/>
    <xf numFmtId="0" fontId="0" fillId="0" borderId="7" xfId="0" applyBorder="1" applyAlignment="1"/>
    <xf numFmtId="2" fontId="0" fillId="0" borderId="8" xfId="3" applyNumberFormat="1" applyFont="1" applyBorder="1" applyAlignment="1"/>
    <xf numFmtId="1" fontId="0" fillId="0" borderId="7" xfId="0" applyNumberFormat="1" applyBorder="1" applyAlignment="1"/>
    <xf numFmtId="1" fontId="0" fillId="0" borderId="8" xfId="0" applyNumberFormat="1" applyBorder="1" applyAlignment="1"/>
    <xf numFmtId="0" fontId="14" fillId="4" borderId="7"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8" borderId="76" xfId="0" applyFont="1" applyFill="1" applyBorder="1" applyAlignment="1">
      <alignment horizontal="center"/>
    </xf>
    <xf numFmtId="0" fontId="14" fillId="8" borderId="53" xfId="0" applyFont="1" applyFill="1" applyBorder="1" applyAlignment="1">
      <alignment horizontal="center" vertical="center" wrapText="1"/>
    </xf>
    <xf numFmtId="0" fontId="1" fillId="5" borderId="1" xfId="0" applyFont="1" applyFill="1" applyBorder="1"/>
    <xf numFmtId="171" fontId="0" fillId="0" borderId="1" xfId="0" applyNumberFormat="1" applyBorder="1"/>
    <xf numFmtId="0" fontId="2" fillId="0" borderId="0" xfId="0" applyFont="1" applyAlignment="1">
      <alignment horizontal="left"/>
    </xf>
    <xf numFmtId="0" fontId="0" fillId="0" borderId="28" xfId="0" applyBorder="1" applyAlignment="1"/>
    <xf numFmtId="0" fontId="0" fillId="0" borderId="2" xfId="0" applyBorder="1" applyAlignment="1"/>
    <xf numFmtId="167" fontId="0" fillId="0" borderId="2" xfId="3" applyNumberFormat="1" applyFont="1" applyBorder="1" applyAlignment="1"/>
    <xf numFmtId="2" fontId="0" fillId="0" borderId="9" xfId="3" applyNumberFormat="1" applyFont="1" applyBorder="1" applyAlignment="1"/>
    <xf numFmtId="1" fontId="0" fillId="0" borderId="28" xfId="0" applyNumberFormat="1" applyBorder="1" applyAlignment="1"/>
    <xf numFmtId="1" fontId="0" fillId="0" borderId="2" xfId="0" applyNumberFormat="1" applyBorder="1" applyAlignment="1"/>
    <xf numFmtId="1" fontId="0" fillId="0" borderId="9" xfId="0" applyNumberFormat="1" applyBorder="1" applyAlignment="1"/>
    <xf numFmtId="1" fontId="0" fillId="0" borderId="77" xfId="0" applyNumberFormat="1" applyBorder="1"/>
    <xf numFmtId="174" fontId="0" fillId="0" borderId="1" xfId="2" applyNumberFormat="1" applyFont="1" applyBorder="1"/>
    <xf numFmtId="166" fontId="0" fillId="0" borderId="1" xfId="2" applyNumberFormat="1" applyFont="1" applyBorder="1"/>
    <xf numFmtId="9" fontId="0" fillId="0" borderId="4" xfId="3" applyFont="1" applyBorder="1"/>
    <xf numFmtId="9" fontId="0" fillId="0" borderId="8" xfId="3" applyFont="1" applyBorder="1"/>
    <xf numFmtId="9" fontId="0" fillId="0" borderId="7" xfId="3" applyFont="1" applyBorder="1"/>
    <xf numFmtId="0" fontId="1" fillId="4" borderId="4" xfId="0" applyFont="1" applyFill="1" applyBorder="1" applyAlignment="1">
      <alignment horizontal="center" vertical="center" wrapText="1"/>
    </xf>
    <xf numFmtId="165" fontId="14" fillId="4" borderId="8" xfId="0" applyNumberFormat="1" applyFont="1" applyFill="1" applyBorder="1"/>
    <xf numFmtId="165" fontId="14" fillId="4" borderId="21" xfId="0" applyNumberFormat="1" applyFont="1" applyFill="1" applyBorder="1"/>
    <xf numFmtId="165" fontId="1" fillId="0" borderId="8" xfId="1" applyNumberFormat="1" applyFont="1" applyBorder="1"/>
    <xf numFmtId="165" fontId="1" fillId="0" borderId="5" xfId="1" applyNumberFormat="1" applyFont="1" applyBorder="1"/>
    <xf numFmtId="0" fontId="14" fillId="5" borderId="1" xfId="0" applyFont="1" applyFill="1" applyBorder="1"/>
    <xf numFmtId="9" fontId="0" fillId="0" borderId="28" xfId="3" applyFont="1" applyBorder="1"/>
    <xf numFmtId="166" fontId="0" fillId="0" borderId="2" xfId="2" applyNumberFormat="1" applyFont="1" applyBorder="1"/>
    <xf numFmtId="0" fontId="14" fillId="4" borderId="1" xfId="0" applyFont="1" applyFill="1" applyBorder="1" applyAlignment="1"/>
    <xf numFmtId="0" fontId="14" fillId="4" borderId="7" xfId="0" applyFont="1" applyFill="1" applyBorder="1" applyAlignment="1"/>
    <xf numFmtId="0" fontId="14" fillId="4" borderId="15" xfId="0" applyFont="1" applyFill="1" applyBorder="1" applyAlignment="1"/>
    <xf numFmtId="0" fontId="14" fillId="4" borderId="16" xfId="0" applyFont="1" applyFill="1" applyBorder="1" applyAlignment="1"/>
    <xf numFmtId="9" fontId="0" fillId="0" borderId="9" xfId="3" applyFont="1" applyBorder="1"/>
    <xf numFmtId="0" fontId="0" fillId="5" borderId="7" xfId="0" applyFill="1" applyBorder="1"/>
    <xf numFmtId="0" fontId="0" fillId="5" borderId="1" xfId="0" applyFill="1" applyBorder="1"/>
    <xf numFmtId="0" fontId="0" fillId="5" borderId="15" xfId="0" applyFill="1" applyBorder="1"/>
    <xf numFmtId="0" fontId="0" fillId="5" borderId="16" xfId="0" applyFill="1" applyBorder="1"/>
    <xf numFmtId="0" fontId="1" fillId="6" borderId="7" xfId="0" applyFont="1" applyFill="1" applyBorder="1" applyAlignment="1">
      <alignment horizontal="center" vertical="center" wrapText="1"/>
    </xf>
    <xf numFmtId="0" fontId="0" fillId="6" borderId="7" xfId="0" applyFill="1" applyBorder="1"/>
    <xf numFmtId="0" fontId="0" fillId="6" borderId="1" xfId="0" applyFill="1" applyBorder="1"/>
    <xf numFmtId="165" fontId="1" fillId="6" borderId="8" xfId="1" applyNumberFormat="1" applyFont="1" applyFill="1" applyBorder="1"/>
    <xf numFmtId="0" fontId="0" fillId="6" borderId="15" xfId="0" applyFill="1" applyBorder="1"/>
    <xf numFmtId="0" fontId="0" fillId="6" borderId="16" xfId="0" applyFill="1" applyBorder="1"/>
    <xf numFmtId="165" fontId="1" fillId="6" borderId="21" xfId="1" applyNumberFormat="1" applyFont="1" applyFill="1" applyBorder="1"/>
    <xf numFmtId="171" fontId="0" fillId="0" borderId="7" xfId="0" applyNumberFormat="1" applyBorder="1" applyAlignment="1"/>
    <xf numFmtId="171" fontId="0" fillId="0" borderId="1" xfId="0" applyNumberFormat="1" applyBorder="1" applyAlignment="1"/>
    <xf numFmtId="171" fontId="0" fillId="0" borderId="28" xfId="0" applyNumberFormat="1" applyBorder="1" applyAlignment="1"/>
    <xf numFmtId="171" fontId="0" fillId="0" borderId="2" xfId="0" applyNumberFormat="1" applyBorder="1" applyAlignment="1"/>
    <xf numFmtId="1" fontId="1" fillId="4" borderId="6" xfId="0" applyNumberFormat="1" applyFont="1" applyFill="1" applyBorder="1" applyAlignment="1"/>
    <xf numFmtId="1" fontId="1" fillId="4" borderId="10" xfId="0" applyNumberFormat="1" applyFont="1" applyFill="1" applyBorder="1" applyAlignment="1"/>
    <xf numFmtId="1" fontId="1" fillId="4" borderId="11" xfId="0" applyNumberFormat="1" applyFont="1" applyFill="1" applyBorder="1" applyAlignment="1"/>
    <xf numFmtId="171" fontId="1" fillId="6" borderId="6" xfId="0" applyNumberFormat="1" applyFont="1" applyFill="1" applyBorder="1" applyAlignment="1"/>
    <xf numFmtId="171" fontId="1" fillId="6" borderId="10" xfId="0" applyNumberFormat="1" applyFont="1" applyFill="1" applyBorder="1" applyAlignment="1"/>
    <xf numFmtId="1" fontId="1" fillId="6" borderId="11" xfId="0" applyNumberFormat="1" applyFont="1" applyFill="1" applyBorder="1" applyAlignment="1"/>
    <xf numFmtId="1" fontId="1" fillId="8" borderId="31" xfId="0" applyNumberFormat="1" applyFont="1" applyFill="1" applyBorder="1" applyAlignment="1"/>
    <xf numFmtId="0" fontId="0" fillId="6" borderId="4" xfId="0" applyFill="1" applyBorder="1"/>
    <xf numFmtId="0" fontId="0" fillId="6" borderId="25" xfId="0" applyFill="1" applyBorder="1"/>
    <xf numFmtId="165" fontId="1" fillId="5" borderId="5" xfId="1" applyNumberFormat="1" applyFont="1" applyFill="1" applyBorder="1"/>
    <xf numFmtId="165" fontId="1" fillId="5" borderId="23" xfId="1" applyNumberFormat="1" applyFont="1" applyFill="1" applyBorder="1"/>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0" fillId="8" borderId="7" xfId="0" applyFill="1" applyBorder="1"/>
    <xf numFmtId="165" fontId="1" fillId="8" borderId="8" xfId="1" applyNumberFormat="1" applyFont="1" applyFill="1" applyBorder="1"/>
    <xf numFmtId="0" fontId="0" fillId="8" borderId="15" xfId="0" applyFill="1" applyBorder="1"/>
    <xf numFmtId="165" fontId="1" fillId="8" borderId="21" xfId="1" applyNumberFormat="1" applyFont="1" applyFill="1" applyBorder="1"/>
    <xf numFmtId="0" fontId="1" fillId="8" borderId="44" xfId="0" applyFont="1" applyFill="1" applyBorder="1" applyAlignment="1">
      <alignment horizontal="center" vertical="center" wrapText="1"/>
    </xf>
    <xf numFmtId="0" fontId="0" fillId="8" borderId="44" xfId="0" applyFill="1" applyBorder="1"/>
    <xf numFmtId="0" fontId="0" fillId="8" borderId="80" xfId="0" applyFill="1" applyBorder="1"/>
    <xf numFmtId="166" fontId="0" fillId="0" borderId="44" xfId="2" applyNumberFormat="1" applyFont="1" applyBorder="1"/>
    <xf numFmtId="165" fontId="13" fillId="3" borderId="54" xfId="1" applyNumberFormat="1" applyFont="1" applyFill="1" applyBorder="1"/>
    <xf numFmtId="165" fontId="1" fillId="0" borderId="53" xfId="1" applyNumberFormat="1" applyFont="1" applyBorder="1"/>
    <xf numFmtId="165" fontId="13" fillId="3" borderId="53" xfId="1" applyNumberFormat="1" applyFont="1" applyFill="1" applyBorder="1"/>
    <xf numFmtId="0" fontId="1" fillId="2" borderId="18" xfId="1" applyNumberFormat="1" applyFont="1" applyFill="1" applyBorder="1" applyAlignment="1">
      <alignment horizontal="center" vertical="center" wrapText="1"/>
    </xf>
    <xf numFmtId="0" fontId="1" fillId="2" borderId="20" xfId="1" applyNumberFormat="1" applyFont="1" applyFill="1" applyBorder="1" applyAlignment="1">
      <alignment horizontal="center" vertical="center" wrapText="1"/>
    </xf>
    <xf numFmtId="0" fontId="1" fillId="2" borderId="40" xfId="0"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165" fontId="0" fillId="0" borderId="32" xfId="1" applyNumberFormat="1" applyFont="1" applyFill="1" applyBorder="1"/>
    <xf numFmtId="165" fontId="0" fillId="0" borderId="33" xfId="1" applyNumberFormat="1" applyFont="1" applyFill="1" applyBorder="1"/>
    <xf numFmtId="165" fontId="0" fillId="0" borderId="34" xfId="1" applyNumberFormat="1" applyFont="1" applyFill="1" applyBorder="1"/>
    <xf numFmtId="165" fontId="13" fillId="3" borderId="31" xfId="0" applyNumberFormat="1" applyFont="1" applyFill="1" applyBorder="1"/>
    <xf numFmtId="0" fontId="1" fillId="2" borderId="39" xfId="0" applyFont="1" applyFill="1" applyBorder="1" applyAlignment="1">
      <alignment horizontal="center" vertical="center" wrapText="1"/>
    </xf>
    <xf numFmtId="44" fontId="0" fillId="0" borderId="1" xfId="1" applyFont="1" applyBorder="1" applyAlignment="1">
      <alignment horizontal="center"/>
    </xf>
    <xf numFmtId="165" fontId="0" fillId="0" borderId="1" xfId="1" applyNumberFormat="1" applyFont="1" applyBorder="1" applyAlignment="1">
      <alignment horizontal="center"/>
    </xf>
    <xf numFmtId="16" fontId="0" fillId="0" borderId="1" xfId="0" applyNumberFormat="1" applyFont="1" applyBorder="1" applyAlignment="1">
      <alignment horizontal="center"/>
    </xf>
    <xf numFmtId="0" fontId="0" fillId="0" borderId="1" xfId="0" applyFont="1" applyBorder="1" applyAlignment="1">
      <alignment horizontal="center"/>
    </xf>
    <xf numFmtId="44" fontId="0" fillId="0" borderId="0" xfId="1" applyFont="1"/>
    <xf numFmtId="165" fontId="1" fillId="0" borderId="1" xfId="1" applyNumberFormat="1" applyFont="1" applyBorder="1"/>
    <xf numFmtId="0" fontId="6" fillId="2" borderId="1" xfId="0" applyFont="1" applyFill="1" applyBorder="1" applyAlignment="1">
      <alignment horizontal="center"/>
    </xf>
    <xf numFmtId="16" fontId="2" fillId="0" borderId="1" xfId="0" applyNumberFormat="1" applyFont="1" applyBorder="1" applyAlignment="1">
      <alignment horizontal="center"/>
    </xf>
    <xf numFmtId="0" fontId="2" fillId="0" borderId="1" xfId="0" applyFont="1" applyFill="1" applyBorder="1" applyAlignment="1">
      <alignment horizontal="center"/>
    </xf>
    <xf numFmtId="0" fontId="2" fillId="0" borderId="0" xfId="0" applyFont="1" applyFill="1" applyBorder="1" applyAlignment="1">
      <alignment horizontal="left"/>
    </xf>
    <xf numFmtId="165" fontId="1" fillId="2" borderId="1" xfId="1" applyNumberFormat="1" applyFont="1" applyFill="1" applyBorder="1" applyAlignment="1">
      <alignment horizontal="center"/>
    </xf>
    <xf numFmtId="44" fontId="1" fillId="2" borderId="1" xfId="1" applyFont="1" applyFill="1" applyBorder="1" applyAlignment="1">
      <alignment horizontal="center"/>
    </xf>
    <xf numFmtId="165" fontId="0" fillId="0" borderId="7" xfId="0" applyNumberFormat="1" applyFill="1" applyBorder="1" applyAlignment="1"/>
    <xf numFmtId="165" fontId="0" fillId="0" borderId="7" xfId="0" applyNumberFormat="1" applyFill="1" applyBorder="1"/>
    <xf numFmtId="165" fontId="0" fillId="0" borderId="32" xfId="0" applyNumberFormat="1" applyFill="1" applyBorder="1"/>
    <xf numFmtId="165" fontId="0" fillId="0" borderId="33" xfId="0" applyNumberFormat="1" applyFill="1" applyBorder="1" applyAlignment="1"/>
    <xf numFmtId="165" fontId="0" fillId="0" borderId="33" xfId="0" applyNumberFormat="1" applyFill="1" applyBorder="1"/>
    <xf numFmtId="165" fontId="0" fillId="0" borderId="42" xfId="0" applyNumberFormat="1" applyFill="1" applyBorder="1"/>
    <xf numFmtId="165" fontId="0" fillId="0" borderId="26" xfId="0" applyNumberFormat="1" applyFill="1" applyBorder="1"/>
    <xf numFmtId="165" fontId="0" fillId="0" borderId="0" xfId="0" applyNumberFormat="1" applyFill="1" applyBorder="1"/>
    <xf numFmtId="0" fontId="1" fillId="2" borderId="6" xfId="1" applyNumberFormat="1" applyFont="1" applyFill="1" applyBorder="1" applyAlignment="1">
      <alignment horizontal="center" vertical="center" wrapText="1"/>
    </xf>
    <xf numFmtId="0" fontId="1" fillId="2" borderId="31" xfId="1" applyNumberFormat="1" applyFont="1" applyFill="1" applyBorder="1" applyAlignment="1">
      <alignment horizontal="center" vertical="center" wrapText="1"/>
    </xf>
    <xf numFmtId="44" fontId="1" fillId="2" borderId="31" xfId="1" applyFont="1" applyFill="1" applyBorder="1" applyAlignment="1">
      <alignment horizontal="center" vertical="center" wrapText="1"/>
    </xf>
    <xf numFmtId="0" fontId="25" fillId="2" borderId="1" xfId="0" applyFont="1" applyFill="1" applyBorder="1" applyAlignment="1">
      <alignment horizontal="center" vertical="center" wrapText="1"/>
    </xf>
    <xf numFmtId="0" fontId="0" fillId="0" borderId="0" xfId="0" applyAlignment="1">
      <alignment vertical="center"/>
    </xf>
    <xf numFmtId="0" fontId="24" fillId="0" borderId="0" xfId="0" applyFont="1" applyAlignment="1">
      <alignment horizontal="left" vertical="center" wrapText="1"/>
    </xf>
    <xf numFmtId="0" fontId="26" fillId="0" borderId="1" xfId="0" applyFont="1" applyBorder="1" applyAlignment="1">
      <alignment vertical="center" wrapText="1"/>
    </xf>
    <xf numFmtId="0" fontId="26" fillId="0" borderId="1" xfId="0" applyFont="1" applyBorder="1" applyAlignment="1">
      <alignment horizontal="left" vertical="center" wrapText="1"/>
    </xf>
    <xf numFmtId="0" fontId="26" fillId="0" borderId="1" xfId="0" applyFont="1" applyBorder="1" applyAlignment="1">
      <alignment vertical="center"/>
    </xf>
    <xf numFmtId="0" fontId="24" fillId="0" borderId="1" xfId="0" applyFont="1" applyBorder="1" applyAlignment="1">
      <alignment horizontal="left" vertical="center" wrapText="1"/>
    </xf>
    <xf numFmtId="0" fontId="14" fillId="2" borderId="28" xfId="0" applyFont="1" applyFill="1" applyBorder="1" applyAlignment="1">
      <alignment horizontal="center"/>
    </xf>
    <xf numFmtId="0" fontId="17" fillId="2" borderId="30" xfId="0" applyFont="1" applyFill="1" applyBorder="1" applyAlignment="1">
      <alignment horizontal="center" vertical="center" wrapText="1"/>
    </xf>
    <xf numFmtId="171" fontId="4" fillId="0" borderId="57" xfId="0" applyNumberFormat="1" applyFont="1" applyFill="1" applyBorder="1" applyAlignment="1">
      <alignment horizontal="center"/>
    </xf>
    <xf numFmtId="171" fontId="4" fillId="0" borderId="41" xfId="0" applyNumberFormat="1" applyFont="1" applyFill="1" applyBorder="1" applyAlignment="1">
      <alignment horizontal="center"/>
    </xf>
    <xf numFmtId="171" fontId="4" fillId="0" borderId="82" xfId="0" applyNumberFormat="1" applyFont="1" applyFill="1" applyBorder="1" applyAlignment="1">
      <alignment horizontal="center"/>
    </xf>
    <xf numFmtId="171" fontId="4" fillId="0" borderId="83" xfId="0" applyNumberFormat="1" applyFont="1" applyFill="1" applyBorder="1" applyAlignment="1">
      <alignment horizontal="center"/>
    </xf>
    <xf numFmtId="171" fontId="4" fillId="0" borderId="34" xfId="0" applyNumberFormat="1" applyFont="1" applyFill="1" applyBorder="1" applyAlignment="1">
      <alignment horizontal="center"/>
    </xf>
    <xf numFmtId="171" fontId="4" fillId="0" borderId="58" xfId="0" applyNumberFormat="1" applyFont="1" applyFill="1" applyBorder="1" applyAlignment="1">
      <alignment horizontal="center"/>
    </xf>
    <xf numFmtId="165" fontId="0" fillId="0" borderId="8" xfId="0" applyNumberFormat="1" applyFill="1" applyBorder="1" applyAlignment="1"/>
    <xf numFmtId="165" fontId="0" fillId="0" borderId="15" xfId="0" applyNumberFormat="1" applyFill="1" applyBorder="1"/>
    <xf numFmtId="165" fontId="1" fillId="0" borderId="0" xfId="1" applyNumberFormat="1" applyFont="1" applyBorder="1"/>
    <xf numFmtId="0" fontId="1" fillId="2" borderId="6" xfId="0" applyFont="1" applyFill="1" applyBorder="1" applyAlignment="1">
      <alignment horizontal="center"/>
    </xf>
    <xf numFmtId="0" fontId="1" fillId="2" borderId="73" xfId="0" applyFont="1" applyFill="1" applyBorder="1" applyAlignment="1">
      <alignment horizontal="center"/>
    </xf>
    <xf numFmtId="0" fontId="13" fillId="7" borderId="0" xfId="0" applyFont="1" applyFill="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2" borderId="1" xfId="0" applyFont="1" applyFill="1" applyBorder="1" applyAlignment="1">
      <alignment horizontal="center"/>
    </xf>
    <xf numFmtId="0" fontId="13" fillId="7" borderId="26"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14" fillId="2" borderId="35" xfId="0" applyFont="1" applyFill="1" applyBorder="1" applyAlignment="1">
      <alignment horizontal="center"/>
    </xf>
    <xf numFmtId="0" fontId="14" fillId="2" borderId="43" xfId="0" applyFont="1" applyFill="1" applyBorder="1" applyAlignment="1">
      <alignment horizontal="center"/>
    </xf>
    <xf numFmtId="0" fontId="14" fillId="2" borderId="45" xfId="0" applyFont="1" applyFill="1" applyBorder="1" applyAlignment="1">
      <alignment horizontal="center"/>
    </xf>
    <xf numFmtId="0" fontId="14" fillId="2" borderId="46" xfId="0" applyFont="1" applyFill="1" applyBorder="1" applyAlignment="1">
      <alignment horizontal="center"/>
    </xf>
    <xf numFmtId="0" fontId="14" fillId="2" borderId="48" xfId="0" applyFont="1" applyFill="1" applyBorder="1" applyAlignment="1">
      <alignment horizontal="center"/>
    </xf>
    <xf numFmtId="0" fontId="14" fillId="2" borderId="47" xfId="0" applyFont="1" applyFill="1" applyBorder="1" applyAlignment="1">
      <alignment horizontal="center"/>
    </xf>
    <xf numFmtId="0" fontId="14" fillId="2" borderId="34" xfId="0" applyFont="1" applyFill="1" applyBorder="1" applyAlignment="1">
      <alignment horizontal="center"/>
    </xf>
    <xf numFmtId="0" fontId="14" fillId="2" borderId="57"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4" fillId="0" borderId="29"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25"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52" xfId="0" applyFont="1" applyFill="1" applyBorder="1" applyAlignment="1">
      <alignment horizontal="center" vertical="center" textRotation="255"/>
    </xf>
    <xf numFmtId="0" fontId="4" fillId="0" borderId="53" xfId="0" applyFont="1" applyFill="1" applyBorder="1" applyAlignment="1">
      <alignment horizontal="center" vertical="center" textRotation="255"/>
    </xf>
    <xf numFmtId="0" fontId="4" fillId="0" borderId="54"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0" fontId="1" fillId="2" borderId="1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6" xfId="0" applyFont="1" applyFill="1" applyBorder="1" applyAlignment="1">
      <alignment horizontal="center" vertical="center" wrapText="1"/>
    </xf>
    <xf numFmtId="2" fontId="1" fillId="2" borderId="37" xfId="3" applyNumberFormat="1" applyFont="1" applyFill="1" applyBorder="1" applyAlignment="1">
      <alignment horizontal="center" vertical="center" wrapText="1"/>
    </xf>
    <xf numFmtId="2" fontId="1" fillId="2" borderId="64" xfId="3" applyNumberFormat="1" applyFont="1" applyFill="1" applyBorder="1" applyAlignment="1">
      <alignment horizontal="center" vertical="center" wrapText="1"/>
    </xf>
    <xf numFmtId="2" fontId="1" fillId="2" borderId="13" xfId="3" applyNumberFormat="1" applyFont="1" applyFill="1" applyBorder="1" applyAlignment="1">
      <alignment horizontal="center" vertical="center" wrapText="1"/>
    </xf>
    <xf numFmtId="0" fontId="1" fillId="6" borderId="1" xfId="0" applyFont="1" applyFill="1" applyBorder="1" applyAlignment="1">
      <alignment horizontal="center"/>
    </xf>
    <xf numFmtId="0" fontId="1" fillId="6" borderId="18" xfId="0" applyFont="1" applyFill="1" applyBorder="1" applyAlignment="1">
      <alignment horizontal="center"/>
    </xf>
    <xf numFmtId="0" fontId="1" fillId="6" borderId="19" xfId="0" applyFont="1" applyFill="1" applyBorder="1" applyAlignment="1">
      <alignment horizontal="center"/>
    </xf>
    <xf numFmtId="167" fontId="1" fillId="6" borderId="7" xfId="3" applyNumberFormat="1" applyFont="1" applyFill="1" applyBorder="1" applyAlignment="1">
      <alignment horizontal="center" vertical="center" wrapText="1"/>
    </xf>
    <xf numFmtId="167" fontId="1" fillId="6" borderId="1" xfId="3" applyNumberFormat="1" applyFont="1" applyFill="1" applyBorder="1" applyAlignment="1">
      <alignment horizontal="center" vertical="center" wrapText="1"/>
    </xf>
    <xf numFmtId="0" fontId="1" fillId="6" borderId="8" xfId="0" applyFont="1" applyFill="1" applyBorder="1" applyAlignment="1">
      <alignment horizontal="center"/>
    </xf>
    <xf numFmtId="0" fontId="1" fillId="6" borderId="20" xfId="0" applyFont="1" applyFill="1" applyBorder="1" applyAlignment="1">
      <alignment horizontal="center"/>
    </xf>
    <xf numFmtId="167" fontId="1" fillId="4" borderId="7" xfId="3" applyNumberFormat="1" applyFont="1" applyFill="1" applyBorder="1" applyAlignment="1">
      <alignment horizontal="center" vertical="center" wrapText="1"/>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4" borderId="1" xfId="0" applyFont="1" applyFill="1" applyBorder="1" applyAlignment="1">
      <alignment horizontal="center"/>
    </xf>
    <xf numFmtId="167" fontId="1" fillId="4" borderId="1" xfId="3" applyNumberFormat="1" applyFont="1" applyFill="1" applyBorder="1" applyAlignment="1">
      <alignment horizontal="center" vertical="center" wrapText="1"/>
    </xf>
    <xf numFmtId="0" fontId="1" fillId="4" borderId="20" xfId="0" applyFont="1" applyFill="1" applyBorder="1" applyAlignment="1">
      <alignment horizontal="center"/>
    </xf>
    <xf numFmtId="0" fontId="1" fillId="4" borderId="8" xfId="0" applyFont="1" applyFill="1" applyBorder="1" applyAlignment="1">
      <alignment horizontal="center"/>
    </xf>
    <xf numFmtId="167" fontId="1" fillId="5" borderId="7" xfId="3" applyNumberFormat="1" applyFont="1" applyFill="1" applyBorder="1" applyAlignment="1">
      <alignment horizontal="center" vertical="center" wrapText="1"/>
    </xf>
    <xf numFmtId="0" fontId="1" fillId="5" borderId="18" xfId="0" applyFont="1" applyFill="1" applyBorder="1" applyAlignment="1">
      <alignment horizontal="center"/>
    </xf>
    <xf numFmtId="0" fontId="1" fillId="5" borderId="19" xfId="0" applyFont="1" applyFill="1" applyBorder="1" applyAlignment="1">
      <alignment horizontal="center"/>
    </xf>
    <xf numFmtId="0" fontId="1" fillId="5" borderId="1" xfId="0" applyFont="1" applyFill="1" applyBorder="1" applyAlignment="1">
      <alignment horizontal="center"/>
    </xf>
    <xf numFmtId="167" fontId="13" fillId="3" borderId="19" xfId="3" applyNumberFormat="1" applyFont="1" applyFill="1" applyBorder="1" applyAlignment="1">
      <alignment horizontal="center" vertical="center" wrapText="1"/>
    </xf>
    <xf numFmtId="167" fontId="13" fillId="3" borderId="1" xfId="3" applyNumberFormat="1" applyFont="1" applyFill="1" applyBorder="1" applyAlignment="1">
      <alignment horizontal="center" vertical="center" wrapText="1"/>
    </xf>
    <xf numFmtId="167" fontId="13" fillId="3" borderId="20" xfId="3" applyNumberFormat="1" applyFont="1" applyFill="1" applyBorder="1" applyAlignment="1">
      <alignment horizontal="center" vertical="center" wrapText="1"/>
    </xf>
    <xf numFmtId="167" fontId="13" fillId="3" borderId="8" xfId="3" applyNumberFormat="1" applyFont="1" applyFill="1" applyBorder="1" applyAlignment="1">
      <alignment horizontal="center" vertical="center" wrapText="1"/>
    </xf>
    <xf numFmtId="0" fontId="1" fillId="5" borderId="20" xfId="0" applyFont="1" applyFill="1" applyBorder="1" applyAlignment="1">
      <alignment horizontal="center"/>
    </xf>
    <xf numFmtId="0" fontId="1" fillId="5" borderId="8" xfId="0" applyFont="1" applyFill="1" applyBorder="1" applyAlignment="1">
      <alignment horizontal="center"/>
    </xf>
    <xf numFmtId="167" fontId="1" fillId="5" borderId="1" xfId="3" applyNumberFormat="1" applyFont="1" applyFill="1" applyBorder="1" applyAlignment="1">
      <alignment horizontal="center" vertical="center" wrapText="1"/>
    </xf>
    <xf numFmtId="167" fontId="13" fillId="3" borderId="18" xfId="3" applyNumberFormat="1" applyFont="1" applyFill="1" applyBorder="1" applyAlignment="1">
      <alignment horizontal="center" vertical="center" wrapText="1"/>
    </xf>
    <xf numFmtId="167" fontId="13" fillId="3" borderId="7" xfId="3" applyNumberFormat="1" applyFont="1" applyFill="1" applyBorder="1" applyAlignment="1">
      <alignment horizontal="center" vertical="center" wrapText="1"/>
    </xf>
    <xf numFmtId="0" fontId="2" fillId="0" borderId="0" xfId="0" applyFont="1" applyAlignment="1">
      <alignment horizontal="left" wrapText="1"/>
    </xf>
    <xf numFmtId="0" fontId="1" fillId="2" borderId="19" xfId="0" applyFont="1" applyFill="1" applyBorder="1" applyAlignment="1">
      <alignment horizontal="center" vertical="center" wrapText="1"/>
    </xf>
    <xf numFmtId="0" fontId="1" fillId="6" borderId="43"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45"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43"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13" fillId="3" borderId="75" xfId="0" applyFont="1" applyFill="1" applyBorder="1" applyAlignment="1">
      <alignment horizontal="center" vertical="center" wrapText="1"/>
    </xf>
    <xf numFmtId="0" fontId="1" fillId="5" borderId="9" xfId="0" applyFont="1" applyFill="1" applyBorder="1" applyAlignment="1">
      <alignment horizontal="center" wrapText="1"/>
    </xf>
    <xf numFmtId="0" fontId="1" fillId="5" borderId="13" xfId="0" applyFont="1" applyFill="1" applyBorder="1" applyAlignment="1">
      <alignment horizontal="center" wrapText="1"/>
    </xf>
    <xf numFmtId="0" fontId="1" fillId="4" borderId="35" xfId="0" applyFont="1" applyFill="1" applyBorder="1" applyAlignment="1">
      <alignment horizontal="center"/>
    </xf>
    <xf numFmtId="0" fontId="1" fillId="4" borderId="24" xfId="0" applyFont="1" applyFill="1" applyBorder="1" applyAlignment="1">
      <alignment horizontal="center"/>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167" fontId="1" fillId="6" borderId="28" xfId="3" applyNumberFormat="1" applyFont="1" applyFill="1" applyBorder="1" applyAlignment="1">
      <alignment horizontal="center" vertical="center" wrapText="1"/>
    </xf>
    <xf numFmtId="167" fontId="1" fillId="6" borderId="12" xfId="3" applyNumberFormat="1" applyFont="1" applyFill="1" applyBorder="1" applyAlignment="1">
      <alignment horizontal="center" vertical="center" wrapText="1"/>
    </xf>
    <xf numFmtId="167" fontId="1" fillId="4" borderId="2" xfId="3" applyNumberFormat="1" applyFont="1" applyFill="1" applyBorder="1" applyAlignment="1">
      <alignment horizontal="center" vertical="center" wrapText="1"/>
    </xf>
    <xf numFmtId="167" fontId="1" fillId="4" borderId="3" xfId="3" applyNumberFormat="1" applyFont="1" applyFill="1" applyBorder="1" applyAlignment="1">
      <alignment horizontal="center" vertical="center" wrapText="1"/>
    </xf>
    <xf numFmtId="0" fontId="1" fillId="6" borderId="22" xfId="0" applyFont="1" applyFill="1" applyBorder="1" applyAlignment="1">
      <alignment horizontal="center"/>
    </xf>
    <xf numFmtId="0" fontId="1" fillId="6" borderId="45" xfId="0" applyFont="1" applyFill="1" applyBorder="1" applyAlignment="1">
      <alignment horizontal="center"/>
    </xf>
    <xf numFmtId="0" fontId="1" fillId="6" borderId="2" xfId="0" applyFont="1" applyFill="1" applyBorder="1" applyAlignment="1">
      <alignment horizontal="center" wrapText="1"/>
    </xf>
    <xf numFmtId="0" fontId="1" fillId="6" borderId="3" xfId="0" applyFont="1" applyFill="1" applyBorder="1" applyAlignment="1">
      <alignment horizontal="center" wrapText="1"/>
    </xf>
    <xf numFmtId="0" fontId="1" fillId="6" borderId="35" xfId="0" applyFont="1" applyFill="1" applyBorder="1" applyAlignment="1">
      <alignment horizontal="center"/>
    </xf>
    <xf numFmtId="0" fontId="1" fillId="6" borderId="24" xfId="0" applyFont="1" applyFill="1" applyBorder="1" applyAlignment="1">
      <alignment horizontal="center"/>
    </xf>
    <xf numFmtId="167" fontId="13" fillId="3" borderId="76" xfId="3" applyNumberFormat="1" applyFont="1" applyFill="1" applyBorder="1" applyAlignment="1">
      <alignment horizontal="center" vertical="center" wrapText="1"/>
    </xf>
    <xf numFmtId="167" fontId="13" fillId="3" borderId="53" xfId="3" applyNumberFormat="1" applyFont="1" applyFill="1" applyBorder="1" applyAlignment="1">
      <alignment horizontal="center" vertical="center" wrapText="1"/>
    </xf>
    <xf numFmtId="0" fontId="1" fillId="4" borderId="22" xfId="0" applyFont="1" applyFill="1" applyBorder="1" applyAlignment="1">
      <alignment horizontal="center"/>
    </xf>
    <xf numFmtId="0" fontId="1" fillId="4" borderId="45" xfId="0" applyFont="1" applyFill="1" applyBorder="1" applyAlignment="1">
      <alignment horizontal="center"/>
    </xf>
    <xf numFmtId="0" fontId="1" fillId="5" borderId="35" xfId="0" applyFont="1" applyFill="1" applyBorder="1" applyAlignment="1">
      <alignment horizontal="center"/>
    </xf>
    <xf numFmtId="0" fontId="1" fillId="5" borderId="24" xfId="0" applyFont="1" applyFill="1" applyBorder="1" applyAlignment="1">
      <alignment horizontal="center"/>
    </xf>
    <xf numFmtId="0" fontId="1" fillId="5" borderId="22" xfId="0" applyFont="1" applyFill="1" applyBorder="1" applyAlignment="1">
      <alignment horizontal="center"/>
    </xf>
    <xf numFmtId="0" fontId="1" fillId="5" borderId="45" xfId="0" applyFont="1" applyFill="1" applyBorder="1" applyAlignment="1">
      <alignment horizontal="center"/>
    </xf>
    <xf numFmtId="0" fontId="1" fillId="5" borderId="2" xfId="0" applyFont="1" applyFill="1" applyBorder="1" applyAlignment="1">
      <alignment horizontal="center" wrapText="1"/>
    </xf>
    <xf numFmtId="0" fontId="1" fillId="5" borderId="3" xfId="0" applyFont="1" applyFill="1" applyBorder="1" applyAlignment="1">
      <alignment horizontal="center" wrapText="1"/>
    </xf>
    <xf numFmtId="0" fontId="1" fillId="2" borderId="78" xfId="0" applyFont="1" applyFill="1" applyBorder="1" applyAlignment="1">
      <alignment horizontal="left" vertical="top"/>
    </xf>
    <xf numFmtId="0" fontId="1" fillId="2" borderId="44" xfId="0" applyFont="1" applyFill="1" applyBorder="1" applyAlignment="1">
      <alignment horizontal="left" vertical="top"/>
    </xf>
    <xf numFmtId="0" fontId="1" fillId="2" borderId="33" xfId="0" applyFont="1" applyFill="1" applyBorder="1" applyAlignment="1">
      <alignment horizontal="left" vertical="top"/>
    </xf>
    <xf numFmtId="0" fontId="1" fillId="2" borderId="79" xfId="0" applyFont="1" applyFill="1" applyBorder="1" applyAlignment="1">
      <alignment horizontal="left"/>
    </xf>
    <xf numFmtId="0" fontId="1" fillId="2" borderId="80" xfId="0" applyFont="1" applyFill="1" applyBorder="1" applyAlignment="1">
      <alignment horizontal="left"/>
    </xf>
    <xf numFmtId="0" fontId="1" fillId="2" borderId="81" xfId="0" applyFont="1" applyFill="1" applyBorder="1" applyAlignment="1">
      <alignment horizontal="left"/>
    </xf>
    <xf numFmtId="0" fontId="1" fillId="2" borderId="2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8" borderId="35" xfId="0" applyFont="1" applyFill="1" applyBorder="1" applyAlignment="1">
      <alignment horizontal="center" vertical="center"/>
    </xf>
    <xf numFmtId="0" fontId="1" fillId="8" borderId="43" xfId="0" applyFont="1" applyFill="1" applyBorder="1" applyAlignment="1">
      <alignment horizontal="center" vertical="center"/>
    </xf>
    <xf numFmtId="0" fontId="1" fillId="8" borderId="45" xfId="0" applyFont="1" applyFill="1" applyBorder="1" applyAlignment="1">
      <alignment horizontal="center" vertical="center"/>
    </xf>
    <xf numFmtId="0" fontId="13" fillId="3" borderId="52" xfId="0" applyFont="1" applyFill="1" applyBorder="1" applyAlignment="1">
      <alignment horizontal="center" vertical="center" wrapText="1"/>
    </xf>
    <xf numFmtId="0" fontId="1" fillId="4" borderId="43" xfId="0" applyFont="1" applyFill="1" applyBorder="1" applyAlignment="1">
      <alignment horizontal="center"/>
    </xf>
    <xf numFmtId="0" fontId="1" fillId="5" borderId="35" xfId="0" applyFont="1" applyFill="1" applyBorder="1" applyAlignment="1">
      <alignment horizontal="center" vertical="center"/>
    </xf>
    <xf numFmtId="0" fontId="1" fillId="5" borderId="43" xfId="0" applyFont="1" applyFill="1" applyBorder="1" applyAlignment="1">
      <alignment horizontal="center" vertical="center"/>
    </xf>
    <xf numFmtId="0" fontId="1" fillId="6" borderId="35" xfId="0" applyFont="1" applyFill="1" applyBorder="1" applyAlignment="1">
      <alignment horizontal="center" vertical="center"/>
    </xf>
    <xf numFmtId="0" fontId="1" fillId="6" borderId="43" xfId="0" applyFont="1" applyFill="1" applyBorder="1" applyAlignment="1">
      <alignment horizontal="center" vertical="center"/>
    </xf>
    <xf numFmtId="0" fontId="1" fillId="6" borderId="45" xfId="0" applyFont="1" applyFill="1" applyBorder="1" applyAlignment="1">
      <alignment horizontal="center" vertical="center"/>
    </xf>
    <xf numFmtId="0" fontId="1" fillId="2" borderId="10" xfId="0" applyFont="1" applyFill="1" applyBorder="1" applyAlignment="1">
      <alignment horizontal="center"/>
    </xf>
    <xf numFmtId="0" fontId="14" fillId="5" borderId="1" xfId="0" applyFont="1" applyFill="1" applyBorder="1" applyAlignment="1">
      <alignment horizontal="center"/>
    </xf>
    <xf numFmtId="0" fontId="14" fillId="4" borderId="35" xfId="0" applyFont="1" applyFill="1" applyBorder="1" applyAlignment="1">
      <alignment horizontal="center"/>
    </xf>
    <xf numFmtId="0" fontId="14" fillId="4" borderId="43" xfId="0" applyFont="1" applyFill="1" applyBorder="1" applyAlignment="1">
      <alignment horizontal="center"/>
    </xf>
    <xf numFmtId="0" fontId="14" fillId="4" borderId="45" xfId="0" applyFont="1" applyFill="1" applyBorder="1" applyAlignment="1">
      <alignment horizontal="center"/>
    </xf>
    <xf numFmtId="0" fontId="14" fillId="6" borderId="18" xfId="0" applyFont="1" applyFill="1" applyBorder="1" applyAlignment="1">
      <alignment horizontal="center"/>
    </xf>
    <xf numFmtId="0" fontId="14" fillId="6" borderId="19" xfId="0" applyFont="1" applyFill="1" applyBorder="1" applyAlignment="1">
      <alignment horizontal="center"/>
    </xf>
    <xf numFmtId="0" fontId="14" fillId="6" borderId="20" xfId="0" applyFont="1" applyFill="1" applyBorder="1" applyAlignment="1">
      <alignment horizontal="center"/>
    </xf>
    <xf numFmtId="0" fontId="0" fillId="0" borderId="1" xfId="0" applyFont="1" applyBorder="1" applyAlignment="1">
      <alignment horizontal="center"/>
    </xf>
    <xf numFmtId="0" fontId="1" fillId="2" borderId="1" xfId="0" applyFont="1" applyFill="1" applyBorder="1" applyAlignment="1">
      <alignment horizontal="left"/>
    </xf>
    <xf numFmtId="0" fontId="1" fillId="2" borderId="5" xfId="0" applyFont="1" applyFill="1" applyBorder="1" applyAlignment="1">
      <alignment horizontal="center"/>
    </xf>
    <xf numFmtId="0" fontId="1" fillId="2" borderId="4" xfId="0" applyFont="1" applyFill="1" applyBorder="1" applyAlignment="1">
      <alignment horizontal="center"/>
    </xf>
    <xf numFmtId="0" fontId="1" fillId="2" borderId="47"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2" fillId="0" borderId="0" xfId="0" applyFont="1" applyBorder="1" applyAlignment="1">
      <alignment horizontal="left" vertical="top" wrapText="1"/>
    </xf>
  </cellXfs>
  <cellStyles count="5">
    <cellStyle name="Comma" xfId="2" builtinId="3"/>
    <cellStyle name="Currency" xfId="1"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521154</xdr:colOff>
      <xdr:row>51</xdr:row>
      <xdr:rowOff>114980</xdr:rowOff>
    </xdr:from>
    <xdr:ext cx="1820819" cy="172227"/>
    <mc:AlternateContent xmlns:mc="http://schemas.openxmlformats.org/markup-compatibility/2006" xmlns:a14="http://schemas.microsoft.com/office/drawing/2010/main">
      <mc:Choice Requires="a14">
        <xdr:sp macro="" textlink="">
          <xdr:nvSpPr>
            <xdr:cNvPr id="2" name="TextBox 1"/>
            <xdr:cNvSpPr txBox="1"/>
          </xdr:nvSpPr>
          <xdr:spPr>
            <a:xfrm>
              <a:off x="1990725" y="9871301"/>
              <a:ext cx="18208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𝐶𝑀𝐹</m:t>
                        </m:r>
                      </m:e>
                      <m:sub>
                        <m:r>
                          <a:rPr lang="en-US" sz="1100" b="0" i="1">
                            <a:latin typeface="Cambria Math" panose="02040503050406030204" pitchFamily="18" charset="0"/>
                          </a:rPr>
                          <m:t>𝑡</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𝐶𝑀𝐹</m:t>
                        </m:r>
                      </m:e>
                      <m:sub>
                        <m:r>
                          <a:rPr lang="en-US" sz="1100" b="0" i="1">
                            <a:latin typeface="Cambria Math" panose="02040503050406030204" pitchFamily="18" charset="0"/>
                          </a:rPr>
                          <m:t>1</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𝐶𝑀𝐹</m:t>
                        </m:r>
                      </m:e>
                      <m:sub>
                        <m:r>
                          <a:rPr lang="en-US" sz="1100" b="0" i="1">
                            <a:latin typeface="Cambria Math" panose="02040503050406030204" pitchFamily="18" charset="0"/>
                          </a:rPr>
                          <m:t>2</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𝐶𝑀𝐹</m:t>
                        </m:r>
                      </m:e>
                      <m:sub>
                        <m:r>
                          <a:rPr lang="en-US" sz="1100" b="0" i="1">
                            <a:latin typeface="Cambria Math" panose="02040503050406030204" pitchFamily="18" charset="0"/>
                          </a:rPr>
                          <m:t>3</m:t>
                        </m:r>
                      </m:sub>
                    </m:sSub>
                  </m:oMath>
                </m:oMathPara>
              </a14:m>
              <a:endParaRPr lang="en-US" sz="1100"/>
            </a:p>
          </xdr:txBody>
        </xdr:sp>
      </mc:Choice>
      <mc:Fallback xmlns="">
        <xdr:sp macro="" textlink="">
          <xdr:nvSpPr>
            <xdr:cNvPr id="2" name="TextBox 1"/>
            <xdr:cNvSpPr txBox="1"/>
          </xdr:nvSpPr>
          <xdr:spPr>
            <a:xfrm>
              <a:off x="1990725" y="9871301"/>
              <a:ext cx="18208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𝐶𝑀𝐹〗_𝑡=〖𝐶𝑀𝐹〗_1∗〖𝐶𝑀𝐹〗_2∗〖𝐶𝑀𝐹〗_3</a:t>
              </a:r>
              <a:endParaRPr lang="en-US" sz="1100"/>
            </a:p>
          </xdr:txBody>
        </xdr:sp>
      </mc:Fallback>
    </mc:AlternateContent>
    <xdr:clientData/>
  </xdr:oneCellAnchor>
  <xdr:oneCellAnchor>
    <xdr:from>
      <xdr:col>3</xdr:col>
      <xdr:colOff>0</xdr:colOff>
      <xdr:row>53</xdr:row>
      <xdr:rowOff>0</xdr:rowOff>
    </xdr:from>
    <xdr:ext cx="360740" cy="172227"/>
    <mc:AlternateContent xmlns:mc="http://schemas.openxmlformats.org/markup-compatibility/2006" xmlns:a14="http://schemas.microsoft.com/office/drawing/2010/main">
      <mc:Choice Requires="a14">
        <xdr:sp macro="" textlink="">
          <xdr:nvSpPr>
            <xdr:cNvPr id="7" name="TextBox 6"/>
            <xdr:cNvSpPr txBox="1"/>
          </xdr:nvSpPr>
          <xdr:spPr>
            <a:xfrm>
              <a:off x="1469571" y="10137321"/>
              <a:ext cx="3607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𝐶𝑀𝐹</m:t>
                        </m:r>
                      </m:e>
                      <m:sub>
                        <m:r>
                          <a:rPr lang="en-US" sz="1100" b="0" i="1">
                            <a:latin typeface="Cambria Math" panose="02040503050406030204" pitchFamily="18" charset="0"/>
                          </a:rPr>
                          <m:t>𝑡</m:t>
                        </m:r>
                      </m:sub>
                    </m:sSub>
                  </m:oMath>
                </m:oMathPara>
              </a14:m>
              <a:endParaRPr lang="en-US" sz="1100"/>
            </a:p>
          </xdr:txBody>
        </xdr:sp>
      </mc:Choice>
      <mc:Fallback xmlns="">
        <xdr:sp macro="" textlink="">
          <xdr:nvSpPr>
            <xdr:cNvPr id="7" name="TextBox 6"/>
            <xdr:cNvSpPr txBox="1"/>
          </xdr:nvSpPr>
          <xdr:spPr>
            <a:xfrm>
              <a:off x="1469571" y="10137321"/>
              <a:ext cx="3607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〖𝐶𝑀𝐹〗_𝑡</a:t>
              </a:r>
              <a:endParaRPr lang="en-US" sz="1100"/>
            </a:p>
          </xdr:txBody>
        </xdr:sp>
      </mc:Fallback>
    </mc:AlternateContent>
    <xdr:clientData/>
  </xdr:oneCellAnchor>
  <xdr:oneCellAnchor>
    <xdr:from>
      <xdr:col>3</xdr:col>
      <xdr:colOff>0</xdr:colOff>
      <xdr:row>54</xdr:row>
      <xdr:rowOff>0</xdr:rowOff>
    </xdr:from>
    <xdr:ext cx="368947" cy="172227"/>
    <mc:AlternateContent xmlns:mc="http://schemas.openxmlformats.org/markup-compatibility/2006" xmlns:a14="http://schemas.microsoft.com/office/drawing/2010/main">
      <mc:Choice Requires="a14">
        <xdr:sp macro="" textlink="">
          <xdr:nvSpPr>
            <xdr:cNvPr id="8" name="TextBox 7"/>
            <xdr:cNvSpPr txBox="1"/>
          </xdr:nvSpPr>
          <xdr:spPr>
            <a:xfrm>
              <a:off x="1469571" y="10327821"/>
              <a:ext cx="3689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𝐶𝑀𝐹</m:t>
                        </m:r>
                      </m:e>
                      <m:sub>
                        <m:r>
                          <a:rPr lang="en-US" sz="1100" b="0" i="1">
                            <a:latin typeface="Cambria Math" panose="02040503050406030204" pitchFamily="18" charset="0"/>
                          </a:rPr>
                          <m:t>1</m:t>
                        </m:r>
                      </m:sub>
                    </m:sSub>
                  </m:oMath>
                </m:oMathPara>
              </a14:m>
              <a:endParaRPr lang="en-US" sz="1100"/>
            </a:p>
          </xdr:txBody>
        </xdr:sp>
      </mc:Choice>
      <mc:Fallback xmlns="">
        <xdr:sp macro="" textlink="">
          <xdr:nvSpPr>
            <xdr:cNvPr id="8" name="TextBox 7"/>
            <xdr:cNvSpPr txBox="1"/>
          </xdr:nvSpPr>
          <xdr:spPr>
            <a:xfrm>
              <a:off x="1469571" y="10327821"/>
              <a:ext cx="3689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〖𝐶𝑀𝐹〗_1</a:t>
              </a:r>
              <a:endParaRPr lang="en-US" sz="1100"/>
            </a:p>
          </xdr:txBody>
        </xdr:sp>
      </mc:Fallback>
    </mc:AlternateContent>
    <xdr:clientData/>
  </xdr:oneCellAnchor>
  <xdr:oneCellAnchor>
    <xdr:from>
      <xdr:col>3</xdr:col>
      <xdr:colOff>0</xdr:colOff>
      <xdr:row>55</xdr:row>
      <xdr:rowOff>0</xdr:rowOff>
    </xdr:from>
    <xdr:ext cx="372218" cy="172227"/>
    <mc:AlternateContent xmlns:mc="http://schemas.openxmlformats.org/markup-compatibility/2006" xmlns:a14="http://schemas.microsoft.com/office/drawing/2010/main">
      <mc:Choice Requires="a14">
        <xdr:sp macro="" textlink="">
          <xdr:nvSpPr>
            <xdr:cNvPr id="9" name="TextBox 8"/>
            <xdr:cNvSpPr txBox="1"/>
          </xdr:nvSpPr>
          <xdr:spPr>
            <a:xfrm>
              <a:off x="1469571" y="10518321"/>
              <a:ext cx="37221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𝐶𝑀𝐹</m:t>
                        </m:r>
                      </m:e>
                      <m:sub>
                        <m:r>
                          <a:rPr lang="en-US" sz="1100" b="0" i="1">
                            <a:latin typeface="Cambria Math" panose="02040503050406030204" pitchFamily="18" charset="0"/>
                          </a:rPr>
                          <m:t>2</m:t>
                        </m:r>
                      </m:sub>
                    </m:sSub>
                  </m:oMath>
                </m:oMathPara>
              </a14:m>
              <a:endParaRPr lang="en-US" sz="1100"/>
            </a:p>
          </xdr:txBody>
        </xdr:sp>
      </mc:Choice>
      <mc:Fallback xmlns="">
        <xdr:sp macro="" textlink="">
          <xdr:nvSpPr>
            <xdr:cNvPr id="9" name="TextBox 8"/>
            <xdr:cNvSpPr txBox="1"/>
          </xdr:nvSpPr>
          <xdr:spPr>
            <a:xfrm>
              <a:off x="1469571" y="10518321"/>
              <a:ext cx="37221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〖𝐶𝑀𝐹〗_2</a:t>
              </a:r>
              <a:endParaRPr lang="en-US" sz="1100"/>
            </a:p>
          </xdr:txBody>
        </xdr:sp>
      </mc:Fallback>
    </mc:AlternateContent>
    <xdr:clientData/>
  </xdr:oneCellAnchor>
  <xdr:oneCellAnchor>
    <xdr:from>
      <xdr:col>3</xdr:col>
      <xdr:colOff>0</xdr:colOff>
      <xdr:row>56</xdr:row>
      <xdr:rowOff>0</xdr:rowOff>
    </xdr:from>
    <xdr:ext cx="369140" cy="172227"/>
    <mc:AlternateContent xmlns:mc="http://schemas.openxmlformats.org/markup-compatibility/2006" xmlns:a14="http://schemas.microsoft.com/office/drawing/2010/main">
      <mc:Choice Requires="a14">
        <xdr:sp macro="" textlink="">
          <xdr:nvSpPr>
            <xdr:cNvPr id="13" name="TextBox 12"/>
            <xdr:cNvSpPr txBox="1"/>
          </xdr:nvSpPr>
          <xdr:spPr>
            <a:xfrm>
              <a:off x="1469571" y="10708821"/>
              <a:ext cx="3691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𝐶𝑀𝐹</m:t>
                        </m:r>
                      </m:e>
                      <m:sub>
                        <m:r>
                          <a:rPr lang="en-US" sz="1100" b="0" i="1">
                            <a:latin typeface="Cambria Math" panose="02040503050406030204" pitchFamily="18" charset="0"/>
                          </a:rPr>
                          <m:t>3</m:t>
                        </m:r>
                      </m:sub>
                    </m:sSub>
                  </m:oMath>
                </m:oMathPara>
              </a14:m>
              <a:endParaRPr lang="en-US" sz="1100"/>
            </a:p>
          </xdr:txBody>
        </xdr:sp>
      </mc:Choice>
      <mc:Fallback xmlns="">
        <xdr:sp macro="" textlink="">
          <xdr:nvSpPr>
            <xdr:cNvPr id="13" name="TextBox 12"/>
            <xdr:cNvSpPr txBox="1"/>
          </xdr:nvSpPr>
          <xdr:spPr>
            <a:xfrm>
              <a:off x="1469571" y="10708821"/>
              <a:ext cx="3691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〖𝐶𝑀𝐹〗_3</a:t>
              </a:r>
              <a:endParaRPr 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523875</xdr:colOff>
      <xdr:row>109</xdr:row>
      <xdr:rowOff>95250</xdr:rowOff>
    </xdr:from>
    <xdr:ext cx="2702022" cy="409920"/>
    <mc:AlternateContent xmlns:mc="http://schemas.openxmlformats.org/markup-compatibility/2006" xmlns:a14="http://schemas.microsoft.com/office/drawing/2010/main">
      <mc:Choice Requires="a14">
        <xdr:sp macro="" textlink="">
          <xdr:nvSpPr>
            <xdr:cNvPr id="2" name="TextBox 1"/>
            <xdr:cNvSpPr txBox="1"/>
          </xdr:nvSpPr>
          <xdr:spPr>
            <a:xfrm>
              <a:off x="523875" y="20326350"/>
              <a:ext cx="2702022"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𝐸</m:t>
                        </m:r>
                      </m:e>
                      <m:sub>
                        <m:r>
                          <a:rPr lang="en-US" sz="1100" b="0" i="1">
                            <a:latin typeface="Cambria Math" panose="02040503050406030204" pitchFamily="18" charset="0"/>
                          </a:rPr>
                          <m:t>𝑖</m:t>
                        </m:r>
                      </m:sub>
                    </m:sSub>
                    <m:r>
                      <a:rPr lang="en-US" sz="1100" b="0" i="1">
                        <a:latin typeface="Cambria Math" panose="02040503050406030204" pitchFamily="18" charset="0"/>
                      </a:rPr>
                      <m:t>=</m:t>
                    </m:r>
                    <m:nary>
                      <m:naryPr>
                        <m:chr m:val="∑"/>
                        <m:subHide m:val="on"/>
                        <m:supHide m:val="on"/>
                        <m:ctrlPr>
                          <a:rPr lang="en-US" sz="1100" b="0" i="1">
                            <a:latin typeface="Cambria Math" panose="02040503050406030204" pitchFamily="18" charset="0"/>
                          </a:rPr>
                        </m:ctrlPr>
                      </m:naryPr>
                      <m:sub/>
                      <m:sup/>
                      <m:e>
                        <m:d>
                          <m:dPr>
                            <m:begChr m:val="["/>
                            <m:endChr m:val="]"/>
                            <m:ctrlPr>
                              <a:rPr lang="en-US" sz="1100" b="0" i="1">
                                <a:solidFill>
                                  <a:schemeClr val="tx1"/>
                                </a:solidFill>
                                <a:effectLst/>
                                <a:latin typeface="Cambria Math" panose="02040503050406030204" pitchFamily="18" charset="0"/>
                                <a:ea typeface="+mn-ea"/>
                                <a:cs typeface="+mn-cs"/>
                              </a:rPr>
                            </m:ctrlPr>
                          </m:dPr>
                          <m:e>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𝐴𝐷𝑇</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𝐿</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𝑃</m:t>
                                </m:r>
                              </m:e>
                              <m:sub>
                                <m:r>
                                  <a:rPr lang="en-US" sz="1100" b="0" i="1">
                                    <a:solidFill>
                                      <a:schemeClr val="tx1"/>
                                    </a:solidFill>
                                    <a:effectLst/>
                                    <a:latin typeface="Cambria Math" panose="02040503050406030204" pitchFamily="18" charset="0"/>
                                    <a:ea typeface="+mn-ea"/>
                                    <a:cs typeface="+mn-cs"/>
                                  </a:rPr>
                                  <m:t>𝑛</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𝐸𝐹</m:t>
                                </m:r>
                              </m:e>
                              <m:sub>
                                <m:r>
                                  <a:rPr lang="en-US" sz="1100" b="0" i="1">
                                    <a:solidFill>
                                      <a:schemeClr val="tx1"/>
                                    </a:solidFill>
                                    <a:effectLst/>
                                    <a:latin typeface="Cambria Math" panose="02040503050406030204" pitchFamily="18" charset="0"/>
                                    <a:ea typeface="+mn-ea"/>
                                    <a:cs typeface="+mn-cs"/>
                                  </a:rPr>
                                  <m:t>𝐵</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𝐸𝐹</m:t>
                                </m:r>
                              </m:e>
                              <m:sub>
                                <m:r>
                                  <a:rPr lang="en-US" sz="1100" b="0" i="1">
                                    <a:solidFill>
                                      <a:schemeClr val="tx1"/>
                                    </a:solidFill>
                                    <a:effectLst/>
                                    <a:latin typeface="Cambria Math" panose="02040503050406030204" pitchFamily="18" charset="0"/>
                                    <a:ea typeface="+mn-ea"/>
                                    <a:cs typeface="+mn-cs"/>
                                  </a:rPr>
                                  <m:t>𝐴</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e>
                        </m:d>
                      </m:e>
                    </m:nary>
                  </m:oMath>
                </m:oMathPara>
              </a14:m>
              <a:endParaRPr lang="en-US" sz="1100"/>
            </a:p>
          </xdr:txBody>
        </xdr:sp>
      </mc:Choice>
      <mc:Fallback xmlns="">
        <xdr:sp macro="" textlink="">
          <xdr:nvSpPr>
            <xdr:cNvPr id="2" name="TextBox 1"/>
            <xdr:cNvSpPr txBox="1"/>
          </xdr:nvSpPr>
          <xdr:spPr>
            <a:xfrm>
              <a:off x="523875" y="20326350"/>
              <a:ext cx="2702022"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𝐸_𝑖=∑</a:t>
              </a:r>
              <a:r>
                <a:rPr lang="en-US" sz="1100" b="0" i="0">
                  <a:solidFill>
                    <a:schemeClr val="tx1"/>
                  </a:solidFill>
                  <a:effectLst/>
                  <a:latin typeface="Cambria Math" panose="02040503050406030204" pitchFamily="18" charset="0"/>
                  <a:ea typeface="+mn-ea"/>
                  <a:cs typeface="+mn-cs"/>
                </a:rPr>
                <a:t>▒[〖𝐴𝐷𝑇〗_𝑖∗𝐿_𝑖∗𝑃_(𝑛−𝑖)∗(〖𝐸𝐹〗_(𝐵−𝑖)−〖𝐸𝐹〗_(𝐴−𝑖))] </a:t>
              </a:r>
              <a:endParaRPr lang="en-US" sz="1100"/>
            </a:p>
          </xdr:txBody>
        </xdr:sp>
      </mc:Fallback>
    </mc:AlternateContent>
    <xdr:clientData/>
  </xdr:oneCellAnchor>
  <xdr:oneCellAnchor>
    <xdr:from>
      <xdr:col>1</xdr:col>
      <xdr:colOff>219075</xdr:colOff>
      <xdr:row>112</xdr:row>
      <xdr:rowOff>0</xdr:rowOff>
    </xdr:from>
    <xdr:ext cx="157864" cy="172227"/>
    <mc:AlternateContent xmlns:mc="http://schemas.openxmlformats.org/markup-compatibility/2006" xmlns:a14="http://schemas.microsoft.com/office/drawing/2010/main">
      <mc:Choice Requires="a14">
        <xdr:sp macro="" textlink="">
          <xdr:nvSpPr>
            <xdr:cNvPr id="3" name="TextBox 2"/>
            <xdr:cNvSpPr txBox="1"/>
          </xdr:nvSpPr>
          <xdr:spPr>
            <a:xfrm>
              <a:off x="828675" y="20802600"/>
              <a:ext cx="157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𝐸</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3" name="TextBox 2"/>
            <xdr:cNvSpPr txBox="1"/>
          </xdr:nvSpPr>
          <xdr:spPr>
            <a:xfrm>
              <a:off x="828675" y="20802600"/>
              <a:ext cx="157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𝐸_𝑖</a:t>
              </a:r>
              <a:endParaRPr lang="en-US" sz="1100"/>
            </a:p>
          </xdr:txBody>
        </xdr:sp>
      </mc:Fallback>
    </mc:AlternateContent>
    <xdr:clientData/>
  </xdr:oneCellAnchor>
  <xdr:oneCellAnchor>
    <xdr:from>
      <xdr:col>1</xdr:col>
      <xdr:colOff>142875</xdr:colOff>
      <xdr:row>113</xdr:row>
      <xdr:rowOff>19050</xdr:rowOff>
    </xdr:from>
    <xdr:ext cx="333105" cy="172227"/>
    <mc:AlternateContent xmlns:mc="http://schemas.openxmlformats.org/markup-compatibility/2006" xmlns:a14="http://schemas.microsoft.com/office/drawing/2010/main">
      <mc:Choice Requires="a14">
        <xdr:sp macro="" textlink="">
          <xdr:nvSpPr>
            <xdr:cNvPr id="4" name="TextBox 3"/>
            <xdr:cNvSpPr txBox="1"/>
          </xdr:nvSpPr>
          <xdr:spPr>
            <a:xfrm>
              <a:off x="752475" y="21012150"/>
              <a:ext cx="33310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𝐴𝐷𝑇</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4" name="TextBox 3"/>
            <xdr:cNvSpPr txBox="1"/>
          </xdr:nvSpPr>
          <xdr:spPr>
            <a:xfrm>
              <a:off x="752475" y="21012150"/>
              <a:ext cx="33310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〖𝐴𝐷𝑇〗_𝑖</a:t>
              </a:r>
              <a:endParaRPr lang="en-US" sz="1100"/>
            </a:p>
          </xdr:txBody>
        </xdr:sp>
      </mc:Fallback>
    </mc:AlternateContent>
    <xdr:clientData/>
  </xdr:oneCellAnchor>
  <xdr:oneCellAnchor>
    <xdr:from>
      <xdr:col>1</xdr:col>
      <xdr:colOff>228600</xdr:colOff>
      <xdr:row>114</xdr:row>
      <xdr:rowOff>9525</xdr:rowOff>
    </xdr:from>
    <xdr:ext cx="152349" cy="172227"/>
    <mc:AlternateContent xmlns:mc="http://schemas.openxmlformats.org/markup-compatibility/2006" xmlns:a14="http://schemas.microsoft.com/office/drawing/2010/main">
      <mc:Choice Requires="a14">
        <xdr:sp macro="" textlink="">
          <xdr:nvSpPr>
            <xdr:cNvPr id="5" name="TextBox 4"/>
            <xdr:cNvSpPr txBox="1"/>
          </xdr:nvSpPr>
          <xdr:spPr>
            <a:xfrm>
              <a:off x="838200" y="21193125"/>
              <a:ext cx="15234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𝐿</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5" name="TextBox 4"/>
            <xdr:cNvSpPr txBox="1"/>
          </xdr:nvSpPr>
          <xdr:spPr>
            <a:xfrm>
              <a:off x="838200" y="21193125"/>
              <a:ext cx="15234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𝐿_𝑖</a:t>
              </a:r>
              <a:endParaRPr lang="en-US" sz="1100"/>
            </a:p>
          </xdr:txBody>
        </xdr:sp>
      </mc:Fallback>
    </mc:AlternateContent>
    <xdr:clientData/>
  </xdr:oneCellAnchor>
  <xdr:oneCellAnchor>
    <xdr:from>
      <xdr:col>1</xdr:col>
      <xdr:colOff>219075</xdr:colOff>
      <xdr:row>115</xdr:row>
      <xdr:rowOff>9525</xdr:rowOff>
    </xdr:from>
    <xdr:ext cx="293157" cy="172227"/>
    <mc:AlternateContent xmlns:mc="http://schemas.openxmlformats.org/markup-compatibility/2006" xmlns:a14="http://schemas.microsoft.com/office/drawing/2010/main">
      <mc:Choice Requires="a14">
        <xdr:sp macro="" textlink="">
          <xdr:nvSpPr>
            <xdr:cNvPr id="6" name="TextBox 5"/>
            <xdr:cNvSpPr txBox="1"/>
          </xdr:nvSpPr>
          <xdr:spPr>
            <a:xfrm>
              <a:off x="828675" y="21383625"/>
              <a:ext cx="29315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𝑛</m:t>
                        </m:r>
                        <m:r>
                          <a:rPr lang="en-US" sz="1100" b="0" i="1">
                            <a:latin typeface="Cambria Math" panose="02040503050406030204" pitchFamily="18" charset="0"/>
                          </a:rPr>
                          <m:t>−</m:t>
                        </m:r>
                        <m:r>
                          <a:rPr lang="en-US" sz="1100" b="0" i="1">
                            <a:latin typeface="Cambria Math" panose="02040503050406030204" pitchFamily="18" charset="0"/>
                          </a:rPr>
                          <m:t>𝑖</m:t>
                        </m:r>
                      </m:sub>
                    </m:sSub>
                  </m:oMath>
                </m:oMathPara>
              </a14:m>
              <a:endParaRPr lang="en-US" sz="1100"/>
            </a:p>
          </xdr:txBody>
        </xdr:sp>
      </mc:Choice>
      <mc:Fallback xmlns="">
        <xdr:sp macro="" textlink="">
          <xdr:nvSpPr>
            <xdr:cNvPr id="6" name="TextBox 5"/>
            <xdr:cNvSpPr txBox="1"/>
          </xdr:nvSpPr>
          <xdr:spPr>
            <a:xfrm>
              <a:off x="828675" y="21383625"/>
              <a:ext cx="29315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𝑃_(𝑛−𝑖)</a:t>
              </a:r>
              <a:endParaRPr lang="en-US" sz="1100"/>
            </a:p>
          </xdr:txBody>
        </xdr:sp>
      </mc:Fallback>
    </mc:AlternateContent>
    <xdr:clientData/>
  </xdr:oneCellAnchor>
  <xdr:oneCellAnchor>
    <xdr:from>
      <xdr:col>1</xdr:col>
      <xdr:colOff>190500</xdr:colOff>
      <xdr:row>116</xdr:row>
      <xdr:rowOff>0</xdr:rowOff>
    </xdr:from>
    <xdr:ext cx="373244" cy="172227"/>
    <mc:AlternateContent xmlns:mc="http://schemas.openxmlformats.org/markup-compatibility/2006" xmlns:a14="http://schemas.microsoft.com/office/drawing/2010/main">
      <mc:Choice Requires="a14">
        <xdr:sp macro="" textlink="">
          <xdr:nvSpPr>
            <xdr:cNvPr id="7" name="TextBox 6"/>
            <xdr:cNvSpPr txBox="1"/>
          </xdr:nvSpPr>
          <xdr:spPr>
            <a:xfrm>
              <a:off x="800100" y="21564600"/>
              <a:ext cx="37324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𝐸𝐹</m:t>
                        </m:r>
                      </m:e>
                      <m:sub>
                        <m:r>
                          <a:rPr lang="en-US" sz="1100" b="0" i="1">
                            <a:latin typeface="Cambria Math" panose="02040503050406030204" pitchFamily="18" charset="0"/>
                          </a:rPr>
                          <m:t>𝐴</m:t>
                        </m:r>
                        <m:r>
                          <a:rPr lang="en-US" sz="1100" b="0" i="1">
                            <a:latin typeface="Cambria Math" panose="02040503050406030204" pitchFamily="18" charset="0"/>
                          </a:rPr>
                          <m:t>−</m:t>
                        </m:r>
                        <m:r>
                          <a:rPr lang="en-US" sz="1100" b="0" i="1">
                            <a:latin typeface="Cambria Math" panose="02040503050406030204" pitchFamily="18" charset="0"/>
                          </a:rPr>
                          <m:t>𝑖</m:t>
                        </m:r>
                      </m:sub>
                    </m:sSub>
                  </m:oMath>
                </m:oMathPara>
              </a14:m>
              <a:endParaRPr lang="en-US" sz="1100"/>
            </a:p>
          </xdr:txBody>
        </xdr:sp>
      </mc:Choice>
      <mc:Fallback xmlns="">
        <xdr:sp macro="" textlink="">
          <xdr:nvSpPr>
            <xdr:cNvPr id="7" name="TextBox 6"/>
            <xdr:cNvSpPr txBox="1"/>
          </xdr:nvSpPr>
          <xdr:spPr>
            <a:xfrm>
              <a:off x="800100" y="21564600"/>
              <a:ext cx="37324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〖𝐸𝐹〗_(𝐴−𝑖)</a:t>
              </a:r>
              <a:endParaRPr lang="en-US" sz="1100"/>
            </a:p>
          </xdr:txBody>
        </xdr:sp>
      </mc:Fallback>
    </mc:AlternateContent>
    <xdr:clientData/>
  </xdr:oneCellAnchor>
  <xdr:oneCellAnchor>
    <xdr:from>
      <xdr:col>1</xdr:col>
      <xdr:colOff>180975</xdr:colOff>
      <xdr:row>117</xdr:row>
      <xdr:rowOff>9525</xdr:rowOff>
    </xdr:from>
    <xdr:ext cx="383631" cy="172227"/>
    <mc:AlternateContent xmlns:mc="http://schemas.openxmlformats.org/markup-compatibility/2006" xmlns:a14="http://schemas.microsoft.com/office/drawing/2010/main">
      <mc:Choice Requires="a14">
        <xdr:sp macro="" textlink="">
          <xdr:nvSpPr>
            <xdr:cNvPr id="8" name="TextBox 7"/>
            <xdr:cNvSpPr txBox="1"/>
          </xdr:nvSpPr>
          <xdr:spPr>
            <a:xfrm>
              <a:off x="790575" y="21764625"/>
              <a:ext cx="38363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𝐸𝐹</m:t>
                        </m:r>
                      </m:e>
                      <m:sub>
                        <m:r>
                          <a:rPr lang="en-US" sz="1100" b="0" i="1">
                            <a:latin typeface="Cambria Math" panose="02040503050406030204" pitchFamily="18" charset="0"/>
                          </a:rPr>
                          <m:t>𝐵</m:t>
                        </m:r>
                        <m:r>
                          <a:rPr lang="en-US" sz="1100" b="0" i="1">
                            <a:latin typeface="Cambria Math" panose="02040503050406030204" pitchFamily="18" charset="0"/>
                          </a:rPr>
                          <m:t>−</m:t>
                        </m:r>
                        <m:r>
                          <a:rPr lang="en-US" sz="1100" b="0" i="1">
                            <a:latin typeface="Cambria Math" panose="02040503050406030204" pitchFamily="18" charset="0"/>
                          </a:rPr>
                          <m:t>𝑖</m:t>
                        </m:r>
                      </m:sub>
                    </m:sSub>
                  </m:oMath>
                </m:oMathPara>
              </a14:m>
              <a:endParaRPr lang="en-US" sz="1100"/>
            </a:p>
          </xdr:txBody>
        </xdr:sp>
      </mc:Choice>
      <mc:Fallback xmlns="">
        <xdr:sp macro="" textlink="">
          <xdr:nvSpPr>
            <xdr:cNvPr id="8" name="TextBox 7"/>
            <xdr:cNvSpPr txBox="1"/>
          </xdr:nvSpPr>
          <xdr:spPr>
            <a:xfrm>
              <a:off x="790575" y="21764625"/>
              <a:ext cx="38363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〖𝐸𝐹〗_(𝐵−𝑖)</a:t>
              </a:r>
              <a:endParaRPr lang="en-US"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105</xdr:row>
      <xdr:rowOff>0</xdr:rowOff>
    </xdr:from>
    <xdr:ext cx="814197" cy="349968"/>
    <mc:AlternateContent xmlns:mc="http://schemas.openxmlformats.org/markup-compatibility/2006" xmlns:a14="http://schemas.microsoft.com/office/drawing/2010/main">
      <mc:Choice Requires="a14">
        <xdr:sp macro="" textlink="">
          <xdr:nvSpPr>
            <xdr:cNvPr id="2" name="TextBox 1"/>
            <xdr:cNvSpPr txBox="1"/>
          </xdr:nvSpPr>
          <xdr:spPr>
            <a:xfrm>
              <a:off x="857250" y="22117050"/>
              <a:ext cx="814197" cy="349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𝐹</m:t>
                        </m:r>
                      </m:e>
                      <m:sub>
                        <m:r>
                          <a:rPr lang="en-US" sz="1100" b="0" i="1">
                            <a:latin typeface="Cambria Math" panose="02040503050406030204" pitchFamily="18" charset="0"/>
                          </a:rPr>
                          <m:t>𝑖</m:t>
                        </m:r>
                      </m:sub>
                    </m:sSub>
                    <m:r>
                      <a:rPr lang="en-US" sz="1100" b="0" i="1">
                        <a:latin typeface="Cambria Math" panose="02040503050406030204" pitchFamily="18" charset="0"/>
                      </a:rPr>
                      <m:t>= </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𝑘</m:t>
                            </m:r>
                          </m:e>
                          <m:sub>
                            <m:r>
                              <a:rPr lang="en-US" sz="1100" b="0" i="1">
                                <a:latin typeface="Cambria Math" panose="02040503050406030204" pitchFamily="18" charset="0"/>
                              </a:rPr>
                              <m:t>1</m:t>
                            </m:r>
                          </m:sub>
                        </m:sSub>
                      </m:num>
                      <m:den>
                        <m:sSub>
                          <m:sSubPr>
                            <m:ctrlPr>
                              <a:rPr lang="en-US" sz="1100" b="0" i="1">
                                <a:latin typeface="Cambria Math" panose="02040503050406030204" pitchFamily="18" charset="0"/>
                              </a:rPr>
                            </m:ctrlPr>
                          </m:sSubPr>
                          <m:e>
                            <m:r>
                              <a:rPr lang="en-US" sz="1100" b="0" i="1">
                                <a:latin typeface="Cambria Math" panose="02040503050406030204" pitchFamily="18" charset="0"/>
                              </a:rPr>
                              <m:t>𝑉</m:t>
                            </m:r>
                          </m:e>
                          <m:sub>
                            <m:r>
                              <a:rPr lang="en-US" sz="1100" b="0" i="1">
                                <a:latin typeface="Cambria Math" panose="02040503050406030204" pitchFamily="18" charset="0"/>
                              </a:rPr>
                              <m:t>𝑖</m:t>
                            </m:r>
                          </m:sub>
                        </m:sSub>
                      </m:den>
                    </m:f>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𝑘</m:t>
                        </m:r>
                      </m:e>
                      <m:sub>
                        <m:r>
                          <a:rPr lang="en-US" sz="1100" b="0" i="1">
                            <a:latin typeface="Cambria Math" panose="02040503050406030204" pitchFamily="18" charset="0"/>
                          </a:rPr>
                          <m:t>2</m:t>
                        </m:r>
                      </m:sub>
                    </m:sSub>
                  </m:oMath>
                </m:oMathPara>
              </a14:m>
              <a:endParaRPr lang="en-US" sz="1100"/>
            </a:p>
          </xdr:txBody>
        </xdr:sp>
      </mc:Choice>
      <mc:Fallback xmlns="">
        <xdr:sp macro="" textlink="">
          <xdr:nvSpPr>
            <xdr:cNvPr id="2" name="TextBox 1"/>
            <xdr:cNvSpPr txBox="1"/>
          </xdr:nvSpPr>
          <xdr:spPr>
            <a:xfrm>
              <a:off x="857250" y="22117050"/>
              <a:ext cx="814197" cy="349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𝐹_𝑖=  𝑘_1/𝑉_𝑖 +𝑘_2</a:t>
              </a:r>
              <a:endParaRPr lang="en-US" sz="1100"/>
            </a:p>
          </xdr:txBody>
        </xdr:sp>
      </mc:Fallback>
    </mc:AlternateContent>
    <xdr:clientData/>
  </xdr:oneCellAnchor>
  <xdr:oneCellAnchor>
    <xdr:from>
      <xdr:col>1</xdr:col>
      <xdr:colOff>219075</xdr:colOff>
      <xdr:row>107</xdr:row>
      <xdr:rowOff>0</xdr:rowOff>
    </xdr:from>
    <xdr:ext cx="148054" cy="172227"/>
    <mc:AlternateContent xmlns:mc="http://schemas.openxmlformats.org/markup-compatibility/2006" xmlns:a14="http://schemas.microsoft.com/office/drawing/2010/main">
      <mc:Choice Requires="a14">
        <xdr:sp macro="" textlink="">
          <xdr:nvSpPr>
            <xdr:cNvPr id="3" name="TextBox 2"/>
            <xdr:cNvSpPr txBox="1"/>
          </xdr:nvSpPr>
          <xdr:spPr>
            <a:xfrm>
              <a:off x="1076325" y="22498050"/>
              <a:ext cx="14805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𝐹</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3" name="TextBox 2"/>
            <xdr:cNvSpPr txBox="1"/>
          </xdr:nvSpPr>
          <xdr:spPr>
            <a:xfrm>
              <a:off x="1076325" y="22498050"/>
              <a:ext cx="14805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𝐹_𝑖</a:t>
              </a:r>
              <a:endParaRPr lang="en-US" sz="1100"/>
            </a:p>
          </xdr:txBody>
        </xdr:sp>
      </mc:Fallback>
    </mc:AlternateContent>
    <xdr:clientData/>
  </xdr:oneCellAnchor>
  <xdr:oneCellAnchor>
    <xdr:from>
      <xdr:col>1</xdr:col>
      <xdr:colOff>142875</xdr:colOff>
      <xdr:row>108</xdr:row>
      <xdr:rowOff>19050</xdr:rowOff>
    </xdr:from>
    <xdr:ext cx="65" cy="172227"/>
    <xdr:sp macro="" textlink="">
      <xdr:nvSpPr>
        <xdr:cNvPr id="4" name="TextBox 3"/>
        <xdr:cNvSpPr txBox="1"/>
      </xdr:nvSpPr>
      <xdr:spPr>
        <a:xfrm>
          <a:off x="1000125" y="22707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228600</xdr:colOff>
      <xdr:row>109</xdr:row>
      <xdr:rowOff>9525</xdr:rowOff>
    </xdr:from>
    <xdr:ext cx="171842" cy="172227"/>
    <mc:AlternateContent xmlns:mc="http://schemas.openxmlformats.org/markup-compatibility/2006" xmlns:a14="http://schemas.microsoft.com/office/drawing/2010/main">
      <mc:Choice Requires="a14">
        <xdr:sp macro="" textlink="">
          <xdr:nvSpPr>
            <xdr:cNvPr id="5" name="TextBox 4"/>
            <xdr:cNvSpPr txBox="1"/>
          </xdr:nvSpPr>
          <xdr:spPr>
            <a:xfrm>
              <a:off x="1085850" y="22888575"/>
              <a:ext cx="1718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𝑘</m:t>
                        </m:r>
                      </m:e>
                      <m:sub>
                        <m:r>
                          <a:rPr lang="en-US" sz="1100" b="0" i="1">
                            <a:latin typeface="Cambria Math" panose="02040503050406030204" pitchFamily="18" charset="0"/>
                          </a:rPr>
                          <m:t>1</m:t>
                        </m:r>
                      </m:sub>
                    </m:sSub>
                  </m:oMath>
                </m:oMathPara>
              </a14:m>
              <a:endParaRPr lang="en-US" sz="1100"/>
            </a:p>
          </xdr:txBody>
        </xdr:sp>
      </mc:Choice>
      <mc:Fallback xmlns="">
        <xdr:sp macro="" textlink="">
          <xdr:nvSpPr>
            <xdr:cNvPr id="5" name="TextBox 4"/>
            <xdr:cNvSpPr txBox="1"/>
          </xdr:nvSpPr>
          <xdr:spPr>
            <a:xfrm>
              <a:off x="1085850" y="22888575"/>
              <a:ext cx="1718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𝑘_1</a:t>
              </a:r>
              <a:endParaRPr lang="en-US" sz="1100"/>
            </a:p>
          </xdr:txBody>
        </xdr:sp>
      </mc:Fallback>
    </mc:AlternateContent>
    <xdr:clientData/>
  </xdr:oneCellAnchor>
  <xdr:oneCellAnchor>
    <xdr:from>
      <xdr:col>1</xdr:col>
      <xdr:colOff>209550</xdr:colOff>
      <xdr:row>108</xdr:row>
      <xdr:rowOff>0</xdr:rowOff>
    </xdr:from>
    <xdr:ext cx="146835" cy="172227"/>
    <mc:AlternateContent xmlns:mc="http://schemas.openxmlformats.org/markup-compatibility/2006" xmlns:a14="http://schemas.microsoft.com/office/drawing/2010/main">
      <mc:Choice Requires="a14">
        <xdr:sp macro="" textlink="">
          <xdr:nvSpPr>
            <xdr:cNvPr id="9" name="TextBox 8"/>
            <xdr:cNvSpPr txBox="1"/>
          </xdr:nvSpPr>
          <xdr:spPr>
            <a:xfrm>
              <a:off x="1066800" y="22688550"/>
              <a:ext cx="1468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𝑉</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9" name="TextBox 8"/>
            <xdr:cNvSpPr txBox="1"/>
          </xdr:nvSpPr>
          <xdr:spPr>
            <a:xfrm>
              <a:off x="1066800" y="22688550"/>
              <a:ext cx="1468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𝑉_𝑖</a:t>
              </a:r>
              <a:endParaRPr lang="en-US" sz="1100"/>
            </a:p>
          </xdr:txBody>
        </xdr:sp>
      </mc:Fallback>
    </mc:AlternateContent>
    <xdr:clientData/>
  </xdr:oneCellAnchor>
  <xdr:oneCellAnchor>
    <xdr:from>
      <xdr:col>1</xdr:col>
      <xdr:colOff>219075</xdr:colOff>
      <xdr:row>109</xdr:row>
      <xdr:rowOff>209550</xdr:rowOff>
    </xdr:from>
    <xdr:ext cx="175113" cy="172227"/>
    <mc:AlternateContent xmlns:mc="http://schemas.openxmlformats.org/markup-compatibility/2006" xmlns:a14="http://schemas.microsoft.com/office/drawing/2010/main">
      <mc:Choice Requires="a14">
        <xdr:sp macro="" textlink="">
          <xdr:nvSpPr>
            <xdr:cNvPr id="10" name="TextBox 9"/>
            <xdr:cNvSpPr txBox="1"/>
          </xdr:nvSpPr>
          <xdr:spPr>
            <a:xfrm>
              <a:off x="1076325" y="23088600"/>
              <a:ext cx="17511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𝑘</m:t>
                        </m:r>
                      </m:e>
                      <m:sub>
                        <m:r>
                          <a:rPr lang="en-US" sz="1100" b="0" i="1">
                            <a:latin typeface="Cambria Math" panose="02040503050406030204" pitchFamily="18" charset="0"/>
                          </a:rPr>
                          <m:t>2</m:t>
                        </m:r>
                      </m:sub>
                    </m:sSub>
                  </m:oMath>
                </m:oMathPara>
              </a14:m>
              <a:endParaRPr lang="en-US" sz="1100"/>
            </a:p>
          </xdr:txBody>
        </xdr:sp>
      </mc:Choice>
      <mc:Fallback xmlns="">
        <xdr:sp macro="" textlink="">
          <xdr:nvSpPr>
            <xdr:cNvPr id="10" name="TextBox 9"/>
            <xdr:cNvSpPr txBox="1"/>
          </xdr:nvSpPr>
          <xdr:spPr>
            <a:xfrm>
              <a:off x="1076325" y="23088600"/>
              <a:ext cx="17511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𝑘_2</a:t>
              </a:r>
              <a:endParaRPr lang="en-US" sz="11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1</xdr:col>
      <xdr:colOff>704849</xdr:colOff>
      <xdr:row>51</xdr:row>
      <xdr:rowOff>32657</xdr:rowOff>
    </xdr:from>
    <xdr:ext cx="963277" cy="345416"/>
    <mc:AlternateContent xmlns:mc="http://schemas.openxmlformats.org/markup-compatibility/2006" xmlns:a14="http://schemas.microsoft.com/office/drawing/2010/main">
      <mc:Choice Requires="a14">
        <xdr:sp macro="" textlink="">
          <xdr:nvSpPr>
            <xdr:cNvPr id="2" name="TextBox 1"/>
            <xdr:cNvSpPr txBox="1"/>
          </xdr:nvSpPr>
          <xdr:spPr>
            <a:xfrm>
              <a:off x="2190749" y="10186307"/>
              <a:ext cx="963277" cy="34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𝑀</m:t>
                        </m:r>
                      </m:e>
                      <m:sub>
                        <m:r>
                          <a:rPr lang="en-US" sz="1100" b="0" i="1">
                            <a:latin typeface="Cambria Math" panose="02040503050406030204" pitchFamily="18" charset="0"/>
                          </a:rPr>
                          <m:t>𝑖</m:t>
                        </m:r>
                      </m:sub>
                    </m:sSub>
                    <m:r>
                      <a:rPr lang="en-US" sz="1100" b="0" i="1">
                        <a:latin typeface="Cambria Math" panose="02040503050406030204" pitchFamily="18" charset="0"/>
                      </a:rPr>
                      <m:t>=</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𝑀</m:t>
                            </m:r>
                          </m:e>
                          <m:sub>
                            <m:r>
                              <a:rPr lang="en-US" sz="1100" b="0" i="1">
                                <a:latin typeface="Cambria Math" panose="02040503050406030204" pitchFamily="18" charset="0"/>
                              </a:rPr>
                              <m:t>𝑚𝑎𝑥</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𝑃</m:t>
                            </m:r>
                          </m:e>
                          <m:sub>
                            <m:r>
                              <a:rPr lang="en-US" sz="1100" b="0" i="1">
                                <a:solidFill>
                                  <a:schemeClr val="tx1"/>
                                </a:solidFill>
                                <a:effectLst/>
                                <a:latin typeface="Cambria Math" panose="02040503050406030204" pitchFamily="18" charset="0"/>
                                <a:ea typeface="+mn-ea"/>
                                <a:cs typeface="+mn-cs"/>
                              </a:rPr>
                              <m:t>𝑚𝑎𝑥</m:t>
                            </m:r>
                          </m:sub>
                        </m:sSub>
                      </m:den>
                    </m:f>
                  </m:oMath>
                </m:oMathPara>
              </a14:m>
              <a:endParaRPr lang="en-US" sz="1100"/>
            </a:p>
          </xdr:txBody>
        </xdr:sp>
      </mc:Choice>
      <mc:Fallback xmlns="">
        <xdr:sp macro="" textlink="">
          <xdr:nvSpPr>
            <xdr:cNvPr id="2" name="TextBox 1"/>
            <xdr:cNvSpPr txBox="1"/>
          </xdr:nvSpPr>
          <xdr:spPr>
            <a:xfrm>
              <a:off x="2190749" y="10186307"/>
              <a:ext cx="963277" cy="34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𝑀_𝑖=(𝑃_𝑖∗𝑀_𝑚𝑎𝑥)/</a:t>
              </a:r>
              <a:r>
                <a:rPr lang="en-US" sz="1100" b="0" i="0">
                  <a:solidFill>
                    <a:schemeClr val="tx1"/>
                  </a:solidFill>
                  <a:effectLst/>
                  <a:latin typeface="+mn-lt"/>
                  <a:ea typeface="+mn-ea"/>
                  <a:cs typeface="+mn-cs"/>
                </a:rPr>
                <a:t>𝑃_𝑚𝑎𝑥</a:t>
              </a:r>
              <a:r>
                <a:rPr lang="en-US" sz="1100" b="0" i="0">
                  <a:solidFill>
                    <a:schemeClr val="tx1"/>
                  </a:solidFill>
                  <a:effectLst/>
                  <a:latin typeface="Cambria Math" panose="02040503050406030204" pitchFamily="18" charset="0"/>
                  <a:ea typeface="+mn-ea"/>
                  <a:cs typeface="+mn-cs"/>
                </a:rPr>
                <a:t> </a:t>
              </a:r>
              <a:endParaRPr lang="en-US" sz="1100"/>
            </a:p>
          </xdr:txBody>
        </xdr:sp>
      </mc:Fallback>
    </mc:AlternateContent>
    <xdr:clientData/>
  </xdr:oneCellAnchor>
  <xdr:oneCellAnchor>
    <xdr:from>
      <xdr:col>1</xdr:col>
      <xdr:colOff>219075</xdr:colOff>
      <xdr:row>53</xdr:row>
      <xdr:rowOff>0</xdr:rowOff>
    </xdr:from>
    <xdr:ext cx="189091" cy="172227"/>
    <mc:AlternateContent xmlns:mc="http://schemas.openxmlformats.org/markup-compatibility/2006" xmlns:a14="http://schemas.microsoft.com/office/drawing/2010/main">
      <mc:Choice Requires="a14">
        <xdr:sp macro="" textlink="">
          <xdr:nvSpPr>
            <xdr:cNvPr id="3" name="TextBox 2"/>
            <xdr:cNvSpPr txBox="1"/>
          </xdr:nvSpPr>
          <xdr:spPr>
            <a:xfrm>
              <a:off x="1704975" y="9753600"/>
              <a:ext cx="18909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𝑀</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3" name="TextBox 2"/>
            <xdr:cNvSpPr txBox="1"/>
          </xdr:nvSpPr>
          <xdr:spPr>
            <a:xfrm>
              <a:off x="1704975" y="9753600"/>
              <a:ext cx="18909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𝑀_𝑖</a:t>
              </a:r>
              <a:endParaRPr lang="en-US" sz="1100"/>
            </a:p>
          </xdr:txBody>
        </xdr:sp>
      </mc:Fallback>
    </mc:AlternateContent>
    <xdr:clientData/>
  </xdr:oneCellAnchor>
  <xdr:oneCellAnchor>
    <xdr:from>
      <xdr:col>1</xdr:col>
      <xdr:colOff>142875</xdr:colOff>
      <xdr:row>54</xdr:row>
      <xdr:rowOff>19050</xdr:rowOff>
    </xdr:from>
    <xdr:ext cx="65" cy="172227"/>
    <xdr:sp macro="" textlink="">
      <xdr:nvSpPr>
        <xdr:cNvPr id="4" name="TextBox 3"/>
        <xdr:cNvSpPr txBox="1"/>
      </xdr:nvSpPr>
      <xdr:spPr>
        <a:xfrm>
          <a:off x="1000125" y="20993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228600</xdr:colOff>
      <xdr:row>55</xdr:row>
      <xdr:rowOff>9525</xdr:rowOff>
    </xdr:from>
    <xdr:ext cx="373692" cy="172227"/>
    <mc:AlternateContent xmlns:mc="http://schemas.openxmlformats.org/markup-compatibility/2006" xmlns:a14="http://schemas.microsoft.com/office/drawing/2010/main">
      <mc:Choice Requires="a14">
        <xdr:sp macro="" textlink="">
          <xdr:nvSpPr>
            <xdr:cNvPr id="5" name="TextBox 4"/>
            <xdr:cNvSpPr txBox="1"/>
          </xdr:nvSpPr>
          <xdr:spPr>
            <a:xfrm>
              <a:off x="1714500" y="10144125"/>
              <a:ext cx="3736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𝑀</m:t>
                        </m:r>
                      </m:e>
                      <m:sub>
                        <m:r>
                          <a:rPr lang="en-US" sz="1100" b="0" i="1">
                            <a:latin typeface="Cambria Math" panose="02040503050406030204" pitchFamily="18" charset="0"/>
                          </a:rPr>
                          <m:t>𝑚𝑎𝑥</m:t>
                        </m:r>
                      </m:sub>
                    </m:sSub>
                  </m:oMath>
                </m:oMathPara>
              </a14:m>
              <a:endParaRPr lang="en-US" sz="1100"/>
            </a:p>
          </xdr:txBody>
        </xdr:sp>
      </mc:Choice>
      <mc:Fallback xmlns="">
        <xdr:sp macro="" textlink="">
          <xdr:nvSpPr>
            <xdr:cNvPr id="5" name="TextBox 4"/>
            <xdr:cNvSpPr txBox="1"/>
          </xdr:nvSpPr>
          <xdr:spPr>
            <a:xfrm>
              <a:off x="1714500" y="10144125"/>
              <a:ext cx="3736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𝑀_𝑚𝑎𝑥</a:t>
              </a:r>
              <a:endParaRPr lang="en-US" sz="1100"/>
            </a:p>
          </xdr:txBody>
        </xdr:sp>
      </mc:Fallback>
    </mc:AlternateContent>
    <xdr:clientData/>
  </xdr:oneCellAnchor>
  <xdr:oneCellAnchor>
    <xdr:from>
      <xdr:col>1</xdr:col>
      <xdr:colOff>209550</xdr:colOff>
      <xdr:row>54</xdr:row>
      <xdr:rowOff>0</xdr:rowOff>
    </xdr:from>
    <xdr:ext cx="149656" cy="172227"/>
    <mc:AlternateContent xmlns:mc="http://schemas.openxmlformats.org/markup-compatibility/2006" xmlns:a14="http://schemas.microsoft.com/office/drawing/2010/main">
      <mc:Choice Requires="a14">
        <xdr:sp macro="" textlink="">
          <xdr:nvSpPr>
            <xdr:cNvPr id="6" name="TextBox 5"/>
            <xdr:cNvSpPr txBox="1"/>
          </xdr:nvSpPr>
          <xdr:spPr>
            <a:xfrm>
              <a:off x="1695450" y="9944100"/>
              <a:ext cx="14965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6" name="TextBox 5"/>
            <xdr:cNvSpPr txBox="1"/>
          </xdr:nvSpPr>
          <xdr:spPr>
            <a:xfrm>
              <a:off x="1695450" y="9944100"/>
              <a:ext cx="14965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𝑃_𝑖</a:t>
              </a:r>
              <a:endParaRPr lang="en-US" sz="1100"/>
            </a:p>
          </xdr:txBody>
        </xdr:sp>
      </mc:Fallback>
    </mc:AlternateContent>
    <xdr:clientData/>
  </xdr:oneCellAnchor>
  <xdr:oneCellAnchor>
    <xdr:from>
      <xdr:col>1</xdr:col>
      <xdr:colOff>219075</xdr:colOff>
      <xdr:row>55</xdr:row>
      <xdr:rowOff>209550</xdr:rowOff>
    </xdr:from>
    <xdr:ext cx="321819" cy="172227"/>
    <mc:AlternateContent xmlns:mc="http://schemas.openxmlformats.org/markup-compatibility/2006" xmlns:a14="http://schemas.microsoft.com/office/drawing/2010/main">
      <mc:Choice Requires="a14">
        <xdr:sp macro="" textlink="">
          <xdr:nvSpPr>
            <xdr:cNvPr id="7" name="TextBox 6"/>
            <xdr:cNvSpPr txBox="1"/>
          </xdr:nvSpPr>
          <xdr:spPr>
            <a:xfrm>
              <a:off x="1704975" y="10344150"/>
              <a:ext cx="3218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𝑚𝑎𝑥</m:t>
                        </m:r>
                      </m:sub>
                    </m:sSub>
                  </m:oMath>
                </m:oMathPara>
              </a14:m>
              <a:endParaRPr lang="en-US" sz="1100"/>
            </a:p>
          </xdr:txBody>
        </xdr:sp>
      </mc:Choice>
      <mc:Fallback xmlns="">
        <xdr:sp macro="" textlink="">
          <xdr:nvSpPr>
            <xdr:cNvPr id="7" name="TextBox 6"/>
            <xdr:cNvSpPr txBox="1"/>
          </xdr:nvSpPr>
          <xdr:spPr>
            <a:xfrm>
              <a:off x="1704975" y="10344150"/>
              <a:ext cx="3218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𝑃_𝑚𝑎𝑥</a:t>
              </a:r>
              <a:endParaRPr lang="en-US" sz="1100"/>
            </a:p>
          </xdr:txBody>
        </xdr:sp>
      </mc:Fallback>
    </mc:AlternateContent>
    <xdr:clientData/>
  </xdr:oneCellAnchor>
  <xdr:oneCellAnchor>
    <xdr:from>
      <xdr:col>1</xdr:col>
      <xdr:colOff>714375</xdr:colOff>
      <xdr:row>61</xdr:row>
      <xdr:rowOff>19050</xdr:rowOff>
    </xdr:from>
    <xdr:ext cx="876587" cy="346505"/>
    <mc:AlternateContent xmlns:mc="http://schemas.openxmlformats.org/markup-compatibility/2006" xmlns:a14="http://schemas.microsoft.com/office/drawing/2010/main">
      <mc:Choice Requires="a14">
        <xdr:sp macro="" textlink="">
          <xdr:nvSpPr>
            <xdr:cNvPr id="9" name="TextBox 8"/>
            <xdr:cNvSpPr txBox="1"/>
          </xdr:nvSpPr>
          <xdr:spPr>
            <a:xfrm>
              <a:off x="2200275" y="12268200"/>
              <a:ext cx="876587" cy="346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𝑆</m:t>
                        </m:r>
                      </m:e>
                      <m:sub>
                        <m:r>
                          <a:rPr lang="en-US" sz="1100" b="0" i="1">
                            <a:latin typeface="Cambria Math" panose="02040503050406030204" pitchFamily="18" charset="0"/>
                          </a:rPr>
                          <m:t>𝑖</m:t>
                        </m:r>
                      </m:sub>
                    </m:sSub>
                    <m:r>
                      <a:rPr lang="en-US" sz="1100" b="0" i="1">
                        <a:latin typeface="Cambria Math" panose="02040503050406030204" pitchFamily="18" charset="0"/>
                      </a:rPr>
                      <m:t>=</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𝑆</m:t>
                            </m:r>
                          </m:e>
                          <m:sub>
                            <m:r>
                              <a:rPr lang="en-US" sz="1100" b="0" i="1">
                                <a:latin typeface="Cambria Math" panose="02040503050406030204" pitchFamily="18" charset="0"/>
                              </a:rPr>
                              <m:t>𝑚𝑎𝑥</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𝑃</m:t>
                            </m:r>
                          </m:e>
                          <m:sub>
                            <m:r>
                              <a:rPr lang="en-US" sz="1100" b="0" i="1">
                                <a:solidFill>
                                  <a:schemeClr val="tx1"/>
                                </a:solidFill>
                                <a:effectLst/>
                                <a:latin typeface="Cambria Math" panose="02040503050406030204" pitchFamily="18" charset="0"/>
                                <a:ea typeface="+mn-ea"/>
                                <a:cs typeface="+mn-cs"/>
                              </a:rPr>
                              <m:t>𝑚𝑎𝑥</m:t>
                            </m:r>
                          </m:sub>
                        </m:sSub>
                      </m:den>
                    </m:f>
                  </m:oMath>
                </m:oMathPara>
              </a14:m>
              <a:endParaRPr lang="en-US" sz="1100"/>
            </a:p>
          </xdr:txBody>
        </xdr:sp>
      </mc:Choice>
      <mc:Fallback xmlns="">
        <xdr:sp macro="" textlink="">
          <xdr:nvSpPr>
            <xdr:cNvPr id="9" name="TextBox 8"/>
            <xdr:cNvSpPr txBox="1"/>
          </xdr:nvSpPr>
          <xdr:spPr>
            <a:xfrm>
              <a:off x="2200275" y="12268200"/>
              <a:ext cx="876587" cy="346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𝑆_𝑖=(𝑃_𝑖∗𝑆_𝑚𝑎𝑥)/</a:t>
              </a:r>
              <a:r>
                <a:rPr lang="en-US" sz="1100" b="0" i="0">
                  <a:solidFill>
                    <a:schemeClr val="tx1"/>
                  </a:solidFill>
                  <a:effectLst/>
                  <a:latin typeface="+mn-lt"/>
                  <a:ea typeface="+mn-ea"/>
                  <a:cs typeface="+mn-cs"/>
                </a:rPr>
                <a:t>𝑃_𝑚𝑎𝑥</a:t>
              </a:r>
              <a:r>
                <a:rPr lang="en-US" sz="1100" b="0" i="0">
                  <a:solidFill>
                    <a:schemeClr val="tx1"/>
                  </a:solidFill>
                  <a:effectLst/>
                  <a:latin typeface="Cambria Math" panose="02040503050406030204" pitchFamily="18" charset="0"/>
                  <a:ea typeface="+mn-ea"/>
                  <a:cs typeface="+mn-cs"/>
                </a:rPr>
                <a:t> </a:t>
              </a:r>
              <a:endParaRPr lang="en-US" sz="1100"/>
            </a:p>
          </xdr:txBody>
        </xdr:sp>
      </mc:Fallback>
    </mc:AlternateContent>
    <xdr:clientData/>
  </xdr:oneCellAnchor>
  <xdr:oneCellAnchor>
    <xdr:from>
      <xdr:col>1</xdr:col>
      <xdr:colOff>219075</xdr:colOff>
      <xdr:row>63</xdr:row>
      <xdr:rowOff>0</xdr:rowOff>
    </xdr:from>
    <xdr:ext cx="145746" cy="172227"/>
    <mc:AlternateContent xmlns:mc="http://schemas.openxmlformats.org/markup-compatibility/2006" xmlns:a14="http://schemas.microsoft.com/office/drawing/2010/main">
      <mc:Choice Requires="a14">
        <xdr:sp macro="" textlink="">
          <xdr:nvSpPr>
            <xdr:cNvPr id="10" name="TextBox 9"/>
            <xdr:cNvSpPr txBox="1"/>
          </xdr:nvSpPr>
          <xdr:spPr>
            <a:xfrm>
              <a:off x="1704975" y="12525375"/>
              <a:ext cx="1457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𝑆</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0" name="TextBox 9"/>
            <xdr:cNvSpPr txBox="1"/>
          </xdr:nvSpPr>
          <xdr:spPr>
            <a:xfrm>
              <a:off x="1704975" y="12525375"/>
              <a:ext cx="14574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𝑆_𝑖</a:t>
              </a:r>
              <a:endParaRPr lang="en-US" sz="1100"/>
            </a:p>
          </xdr:txBody>
        </xdr:sp>
      </mc:Fallback>
    </mc:AlternateContent>
    <xdr:clientData/>
  </xdr:oneCellAnchor>
  <xdr:oneCellAnchor>
    <xdr:from>
      <xdr:col>1</xdr:col>
      <xdr:colOff>142875</xdr:colOff>
      <xdr:row>64</xdr:row>
      <xdr:rowOff>19050</xdr:rowOff>
    </xdr:from>
    <xdr:ext cx="65" cy="172227"/>
    <xdr:sp macro="" textlink="">
      <xdr:nvSpPr>
        <xdr:cNvPr id="11" name="TextBox 10"/>
        <xdr:cNvSpPr txBox="1"/>
      </xdr:nvSpPr>
      <xdr:spPr>
        <a:xfrm>
          <a:off x="1628775" y="10563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228600</xdr:colOff>
      <xdr:row>65</xdr:row>
      <xdr:rowOff>9525</xdr:rowOff>
    </xdr:from>
    <xdr:ext cx="330347" cy="172227"/>
    <mc:AlternateContent xmlns:mc="http://schemas.openxmlformats.org/markup-compatibility/2006" xmlns:a14="http://schemas.microsoft.com/office/drawing/2010/main">
      <mc:Choice Requires="a14">
        <xdr:sp macro="" textlink="">
          <xdr:nvSpPr>
            <xdr:cNvPr id="12" name="TextBox 11"/>
            <xdr:cNvSpPr txBox="1"/>
          </xdr:nvSpPr>
          <xdr:spPr>
            <a:xfrm>
              <a:off x="1714500" y="12915900"/>
              <a:ext cx="3303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𝑆</m:t>
                        </m:r>
                      </m:e>
                      <m:sub>
                        <m:r>
                          <a:rPr lang="en-US" sz="1100" b="0" i="1">
                            <a:latin typeface="Cambria Math" panose="02040503050406030204" pitchFamily="18" charset="0"/>
                          </a:rPr>
                          <m:t>𝑚𝑎𝑥</m:t>
                        </m:r>
                      </m:sub>
                    </m:sSub>
                  </m:oMath>
                </m:oMathPara>
              </a14:m>
              <a:endParaRPr lang="en-US" sz="1100"/>
            </a:p>
          </xdr:txBody>
        </xdr:sp>
      </mc:Choice>
      <mc:Fallback xmlns="">
        <xdr:sp macro="" textlink="">
          <xdr:nvSpPr>
            <xdr:cNvPr id="12" name="TextBox 11"/>
            <xdr:cNvSpPr txBox="1"/>
          </xdr:nvSpPr>
          <xdr:spPr>
            <a:xfrm>
              <a:off x="1714500" y="12915900"/>
              <a:ext cx="3303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𝑆_𝑚𝑎𝑥</a:t>
              </a:r>
              <a:endParaRPr lang="en-US" sz="1100"/>
            </a:p>
          </xdr:txBody>
        </xdr:sp>
      </mc:Fallback>
    </mc:AlternateContent>
    <xdr:clientData/>
  </xdr:oneCellAnchor>
  <xdr:oneCellAnchor>
    <xdr:from>
      <xdr:col>1</xdr:col>
      <xdr:colOff>209550</xdr:colOff>
      <xdr:row>64</xdr:row>
      <xdr:rowOff>0</xdr:rowOff>
    </xdr:from>
    <xdr:ext cx="149656" cy="172227"/>
    <mc:AlternateContent xmlns:mc="http://schemas.openxmlformats.org/markup-compatibility/2006" xmlns:a14="http://schemas.microsoft.com/office/drawing/2010/main">
      <mc:Choice Requires="a14">
        <xdr:sp macro="" textlink="">
          <xdr:nvSpPr>
            <xdr:cNvPr id="13" name="TextBox 12"/>
            <xdr:cNvSpPr txBox="1"/>
          </xdr:nvSpPr>
          <xdr:spPr>
            <a:xfrm>
              <a:off x="1695450" y="10544175"/>
              <a:ext cx="14965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3" name="TextBox 12"/>
            <xdr:cNvSpPr txBox="1"/>
          </xdr:nvSpPr>
          <xdr:spPr>
            <a:xfrm>
              <a:off x="1695450" y="10544175"/>
              <a:ext cx="14965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𝑃_𝑖</a:t>
              </a:r>
              <a:endParaRPr lang="en-US" sz="1100"/>
            </a:p>
          </xdr:txBody>
        </xdr:sp>
      </mc:Fallback>
    </mc:AlternateContent>
    <xdr:clientData/>
  </xdr:oneCellAnchor>
  <xdr:oneCellAnchor>
    <xdr:from>
      <xdr:col>1</xdr:col>
      <xdr:colOff>219075</xdr:colOff>
      <xdr:row>65</xdr:row>
      <xdr:rowOff>209550</xdr:rowOff>
    </xdr:from>
    <xdr:ext cx="321819" cy="172227"/>
    <mc:AlternateContent xmlns:mc="http://schemas.openxmlformats.org/markup-compatibility/2006" xmlns:a14="http://schemas.microsoft.com/office/drawing/2010/main">
      <mc:Choice Requires="a14">
        <xdr:sp macro="" textlink="">
          <xdr:nvSpPr>
            <xdr:cNvPr id="14" name="TextBox 13"/>
            <xdr:cNvSpPr txBox="1"/>
          </xdr:nvSpPr>
          <xdr:spPr>
            <a:xfrm>
              <a:off x="1704975" y="10944225"/>
              <a:ext cx="3218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𝑚𝑎𝑥</m:t>
                        </m:r>
                      </m:sub>
                    </m:sSub>
                  </m:oMath>
                </m:oMathPara>
              </a14:m>
              <a:endParaRPr lang="en-US" sz="1100"/>
            </a:p>
          </xdr:txBody>
        </xdr:sp>
      </mc:Choice>
      <mc:Fallback xmlns="">
        <xdr:sp macro="" textlink="">
          <xdr:nvSpPr>
            <xdr:cNvPr id="14" name="TextBox 13"/>
            <xdr:cNvSpPr txBox="1"/>
          </xdr:nvSpPr>
          <xdr:spPr>
            <a:xfrm>
              <a:off x="1704975" y="10944225"/>
              <a:ext cx="3218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𝑃_𝑚𝑎𝑥</a:t>
              </a:r>
              <a:endParaRPr lang="en-US" sz="1100"/>
            </a:p>
          </xdr:txBody>
        </xdr:sp>
      </mc:Fallback>
    </mc:AlternateContent>
    <xdr:clientData/>
  </xdr:oneCellAnchor>
  <xdr:oneCellAnchor>
    <xdr:from>
      <xdr:col>1</xdr:col>
      <xdr:colOff>590550</xdr:colOff>
      <xdr:row>71</xdr:row>
      <xdr:rowOff>28575</xdr:rowOff>
    </xdr:from>
    <xdr:ext cx="900824" cy="345416"/>
    <mc:AlternateContent xmlns:mc="http://schemas.openxmlformats.org/markup-compatibility/2006" xmlns:a14="http://schemas.microsoft.com/office/drawing/2010/main">
      <mc:Choice Requires="a14">
        <xdr:sp macro="" textlink="">
          <xdr:nvSpPr>
            <xdr:cNvPr id="15" name="TextBox 14"/>
            <xdr:cNvSpPr txBox="1"/>
          </xdr:nvSpPr>
          <xdr:spPr>
            <a:xfrm>
              <a:off x="2076450" y="13992225"/>
              <a:ext cx="900824" cy="34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𝐸</m:t>
                        </m:r>
                      </m:e>
                      <m:sub>
                        <m:r>
                          <a:rPr lang="en-US" sz="1100" b="0" i="1">
                            <a:latin typeface="Cambria Math" panose="02040503050406030204" pitchFamily="18" charset="0"/>
                          </a:rPr>
                          <m:t>𝑖</m:t>
                        </m:r>
                      </m:sub>
                    </m:sSub>
                    <m:r>
                      <a:rPr lang="en-US" sz="1100" b="0" i="1">
                        <a:latin typeface="Cambria Math" panose="02040503050406030204" pitchFamily="18" charset="0"/>
                      </a:rPr>
                      <m:t>=</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𝐸</m:t>
                            </m:r>
                          </m:e>
                          <m:sub>
                            <m:r>
                              <a:rPr lang="en-US" sz="1100" b="0" i="1">
                                <a:latin typeface="Cambria Math" panose="02040503050406030204" pitchFamily="18" charset="0"/>
                              </a:rPr>
                              <m:t>𝑚𝑎𝑥</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𝑃</m:t>
                            </m:r>
                          </m:e>
                          <m:sub>
                            <m:r>
                              <a:rPr lang="en-US" sz="1100" b="0" i="1">
                                <a:solidFill>
                                  <a:schemeClr val="tx1"/>
                                </a:solidFill>
                                <a:effectLst/>
                                <a:latin typeface="Cambria Math" panose="02040503050406030204" pitchFamily="18" charset="0"/>
                                <a:ea typeface="+mn-ea"/>
                                <a:cs typeface="+mn-cs"/>
                              </a:rPr>
                              <m:t>𝑚𝑎𝑥</m:t>
                            </m:r>
                          </m:sub>
                        </m:sSub>
                      </m:den>
                    </m:f>
                  </m:oMath>
                </m:oMathPara>
              </a14:m>
              <a:endParaRPr lang="en-US" sz="1100"/>
            </a:p>
          </xdr:txBody>
        </xdr:sp>
      </mc:Choice>
      <mc:Fallback xmlns="">
        <xdr:sp macro="" textlink="">
          <xdr:nvSpPr>
            <xdr:cNvPr id="15" name="TextBox 14"/>
            <xdr:cNvSpPr txBox="1"/>
          </xdr:nvSpPr>
          <xdr:spPr>
            <a:xfrm>
              <a:off x="2076450" y="13992225"/>
              <a:ext cx="900824" cy="34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𝐸_𝑖=(𝑃_𝑖∗𝐸_𝑚𝑎𝑥)/</a:t>
              </a:r>
              <a:r>
                <a:rPr lang="en-US" sz="1100" b="0" i="0">
                  <a:solidFill>
                    <a:schemeClr val="tx1"/>
                  </a:solidFill>
                  <a:effectLst/>
                  <a:latin typeface="+mn-lt"/>
                  <a:ea typeface="+mn-ea"/>
                  <a:cs typeface="+mn-cs"/>
                </a:rPr>
                <a:t>𝑃_𝑚𝑎𝑥</a:t>
              </a:r>
              <a:r>
                <a:rPr lang="en-US" sz="1100" b="0" i="0">
                  <a:solidFill>
                    <a:schemeClr val="tx1"/>
                  </a:solidFill>
                  <a:effectLst/>
                  <a:latin typeface="Cambria Math" panose="02040503050406030204" pitchFamily="18" charset="0"/>
                  <a:ea typeface="+mn-ea"/>
                  <a:cs typeface="+mn-cs"/>
                </a:rPr>
                <a:t> </a:t>
              </a:r>
              <a:endParaRPr lang="en-US" sz="1100"/>
            </a:p>
          </xdr:txBody>
        </xdr:sp>
      </mc:Fallback>
    </mc:AlternateContent>
    <xdr:clientData/>
  </xdr:oneCellAnchor>
  <xdr:oneCellAnchor>
    <xdr:from>
      <xdr:col>1</xdr:col>
      <xdr:colOff>219075</xdr:colOff>
      <xdr:row>73</xdr:row>
      <xdr:rowOff>0</xdr:rowOff>
    </xdr:from>
    <xdr:ext cx="157864" cy="172227"/>
    <mc:AlternateContent xmlns:mc="http://schemas.openxmlformats.org/markup-compatibility/2006" xmlns:a14="http://schemas.microsoft.com/office/drawing/2010/main">
      <mc:Choice Requires="a14">
        <xdr:sp macro="" textlink="">
          <xdr:nvSpPr>
            <xdr:cNvPr id="16" name="TextBox 15"/>
            <xdr:cNvSpPr txBox="1"/>
          </xdr:nvSpPr>
          <xdr:spPr>
            <a:xfrm>
              <a:off x="1704975" y="14344650"/>
              <a:ext cx="157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𝐸</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6" name="TextBox 15"/>
            <xdr:cNvSpPr txBox="1"/>
          </xdr:nvSpPr>
          <xdr:spPr>
            <a:xfrm>
              <a:off x="1704975" y="14344650"/>
              <a:ext cx="157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𝐸_𝑖</a:t>
              </a:r>
              <a:endParaRPr lang="en-US" sz="1100"/>
            </a:p>
          </xdr:txBody>
        </xdr:sp>
      </mc:Fallback>
    </mc:AlternateContent>
    <xdr:clientData/>
  </xdr:oneCellAnchor>
  <xdr:oneCellAnchor>
    <xdr:from>
      <xdr:col>1</xdr:col>
      <xdr:colOff>142875</xdr:colOff>
      <xdr:row>74</xdr:row>
      <xdr:rowOff>19050</xdr:rowOff>
    </xdr:from>
    <xdr:ext cx="65" cy="172227"/>
    <xdr:sp macro="" textlink="">
      <xdr:nvSpPr>
        <xdr:cNvPr id="17" name="TextBox 16"/>
        <xdr:cNvSpPr txBox="1"/>
      </xdr:nvSpPr>
      <xdr:spPr>
        <a:xfrm>
          <a:off x="1628775" y="13030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228600</xdr:colOff>
      <xdr:row>75</xdr:row>
      <xdr:rowOff>9525</xdr:rowOff>
    </xdr:from>
    <xdr:ext cx="342465" cy="172227"/>
    <mc:AlternateContent xmlns:mc="http://schemas.openxmlformats.org/markup-compatibility/2006" xmlns:a14="http://schemas.microsoft.com/office/drawing/2010/main">
      <mc:Choice Requires="a14">
        <xdr:sp macro="" textlink="">
          <xdr:nvSpPr>
            <xdr:cNvPr id="18" name="TextBox 17"/>
            <xdr:cNvSpPr txBox="1"/>
          </xdr:nvSpPr>
          <xdr:spPr>
            <a:xfrm>
              <a:off x="1714500" y="14735175"/>
              <a:ext cx="3424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𝐸</m:t>
                        </m:r>
                      </m:e>
                      <m:sub>
                        <m:r>
                          <a:rPr lang="en-US" sz="1100" b="0" i="1">
                            <a:latin typeface="Cambria Math" panose="02040503050406030204" pitchFamily="18" charset="0"/>
                          </a:rPr>
                          <m:t>𝑚𝑎𝑥</m:t>
                        </m:r>
                      </m:sub>
                    </m:sSub>
                  </m:oMath>
                </m:oMathPara>
              </a14:m>
              <a:endParaRPr lang="en-US" sz="1100"/>
            </a:p>
          </xdr:txBody>
        </xdr:sp>
      </mc:Choice>
      <mc:Fallback xmlns="">
        <xdr:sp macro="" textlink="">
          <xdr:nvSpPr>
            <xdr:cNvPr id="18" name="TextBox 17"/>
            <xdr:cNvSpPr txBox="1"/>
          </xdr:nvSpPr>
          <xdr:spPr>
            <a:xfrm>
              <a:off x="1714500" y="14735175"/>
              <a:ext cx="3424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𝐸_𝑚𝑎𝑥</a:t>
              </a:r>
              <a:endParaRPr lang="en-US" sz="1100"/>
            </a:p>
          </xdr:txBody>
        </xdr:sp>
      </mc:Fallback>
    </mc:AlternateContent>
    <xdr:clientData/>
  </xdr:oneCellAnchor>
  <xdr:oneCellAnchor>
    <xdr:from>
      <xdr:col>1</xdr:col>
      <xdr:colOff>209550</xdr:colOff>
      <xdr:row>74</xdr:row>
      <xdr:rowOff>0</xdr:rowOff>
    </xdr:from>
    <xdr:ext cx="149656" cy="172227"/>
    <mc:AlternateContent xmlns:mc="http://schemas.openxmlformats.org/markup-compatibility/2006" xmlns:a14="http://schemas.microsoft.com/office/drawing/2010/main">
      <mc:Choice Requires="a14">
        <xdr:sp macro="" textlink="">
          <xdr:nvSpPr>
            <xdr:cNvPr id="19" name="TextBox 18"/>
            <xdr:cNvSpPr txBox="1"/>
          </xdr:nvSpPr>
          <xdr:spPr>
            <a:xfrm>
              <a:off x="1695450" y="13011150"/>
              <a:ext cx="14965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9" name="TextBox 18"/>
            <xdr:cNvSpPr txBox="1"/>
          </xdr:nvSpPr>
          <xdr:spPr>
            <a:xfrm>
              <a:off x="1695450" y="13011150"/>
              <a:ext cx="14965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𝑃_𝑖</a:t>
              </a:r>
              <a:endParaRPr lang="en-US" sz="1100"/>
            </a:p>
          </xdr:txBody>
        </xdr:sp>
      </mc:Fallback>
    </mc:AlternateContent>
    <xdr:clientData/>
  </xdr:oneCellAnchor>
  <xdr:oneCellAnchor>
    <xdr:from>
      <xdr:col>1</xdr:col>
      <xdr:colOff>219075</xdr:colOff>
      <xdr:row>75</xdr:row>
      <xdr:rowOff>209550</xdr:rowOff>
    </xdr:from>
    <xdr:ext cx="321819" cy="172227"/>
    <mc:AlternateContent xmlns:mc="http://schemas.openxmlformats.org/markup-compatibility/2006" xmlns:a14="http://schemas.microsoft.com/office/drawing/2010/main">
      <mc:Choice Requires="a14">
        <xdr:sp macro="" textlink="">
          <xdr:nvSpPr>
            <xdr:cNvPr id="20" name="TextBox 19"/>
            <xdr:cNvSpPr txBox="1"/>
          </xdr:nvSpPr>
          <xdr:spPr>
            <a:xfrm>
              <a:off x="1704975" y="13392150"/>
              <a:ext cx="3218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𝑚𝑎𝑥</m:t>
                        </m:r>
                      </m:sub>
                    </m:sSub>
                  </m:oMath>
                </m:oMathPara>
              </a14:m>
              <a:endParaRPr lang="en-US" sz="1100"/>
            </a:p>
          </xdr:txBody>
        </xdr:sp>
      </mc:Choice>
      <mc:Fallback xmlns="">
        <xdr:sp macro="" textlink="">
          <xdr:nvSpPr>
            <xdr:cNvPr id="20" name="TextBox 19"/>
            <xdr:cNvSpPr txBox="1"/>
          </xdr:nvSpPr>
          <xdr:spPr>
            <a:xfrm>
              <a:off x="1704975" y="13392150"/>
              <a:ext cx="3218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𝑃_𝑚𝑎𝑥</a:t>
              </a:r>
              <a:endParaRPr lang="en-US" sz="1100"/>
            </a:p>
          </xdr:txBody>
        </xdr:sp>
      </mc:Fallback>
    </mc:AlternateContent>
    <xdr:clientData/>
  </xdr:oneCellAnchor>
  <xdr:oneCellAnchor>
    <xdr:from>
      <xdr:col>1</xdr:col>
      <xdr:colOff>590550</xdr:colOff>
      <xdr:row>81</xdr:row>
      <xdr:rowOff>28575</xdr:rowOff>
    </xdr:from>
    <xdr:ext cx="891013" cy="345416"/>
    <mc:AlternateContent xmlns:mc="http://schemas.openxmlformats.org/markup-compatibility/2006" xmlns:a14="http://schemas.microsoft.com/office/drawing/2010/main">
      <mc:Choice Requires="a14">
        <xdr:sp macro="" textlink="">
          <xdr:nvSpPr>
            <xdr:cNvPr id="21" name="TextBox 20"/>
            <xdr:cNvSpPr txBox="1"/>
          </xdr:nvSpPr>
          <xdr:spPr>
            <a:xfrm>
              <a:off x="2076450" y="16202025"/>
              <a:ext cx="891013" cy="34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𝐹</m:t>
                        </m:r>
                      </m:e>
                      <m:sub>
                        <m:r>
                          <a:rPr lang="en-US" sz="1100" b="0" i="1">
                            <a:latin typeface="Cambria Math" panose="02040503050406030204" pitchFamily="18" charset="0"/>
                          </a:rPr>
                          <m:t>𝑖</m:t>
                        </m:r>
                      </m:sub>
                    </m:sSub>
                    <m:r>
                      <a:rPr lang="en-US" sz="1100" b="0" i="1">
                        <a:latin typeface="Cambria Math" panose="02040503050406030204" pitchFamily="18" charset="0"/>
                      </a:rPr>
                      <m:t>=</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𝐹</m:t>
                            </m:r>
                          </m:e>
                          <m:sub>
                            <m:r>
                              <a:rPr lang="en-US" sz="1100" b="0" i="1">
                                <a:latin typeface="Cambria Math" panose="02040503050406030204" pitchFamily="18" charset="0"/>
                              </a:rPr>
                              <m:t>𝑚𝑎𝑥</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𝑃</m:t>
                            </m:r>
                          </m:e>
                          <m:sub>
                            <m:r>
                              <a:rPr lang="en-US" sz="1100" b="0" i="1">
                                <a:solidFill>
                                  <a:schemeClr val="tx1"/>
                                </a:solidFill>
                                <a:effectLst/>
                                <a:latin typeface="Cambria Math" panose="02040503050406030204" pitchFamily="18" charset="0"/>
                                <a:ea typeface="+mn-ea"/>
                                <a:cs typeface="+mn-cs"/>
                              </a:rPr>
                              <m:t>𝑚𝑎𝑥</m:t>
                            </m:r>
                          </m:sub>
                        </m:sSub>
                      </m:den>
                    </m:f>
                  </m:oMath>
                </m:oMathPara>
              </a14:m>
              <a:endParaRPr lang="en-US" sz="1100"/>
            </a:p>
          </xdr:txBody>
        </xdr:sp>
      </mc:Choice>
      <mc:Fallback xmlns="">
        <xdr:sp macro="" textlink="">
          <xdr:nvSpPr>
            <xdr:cNvPr id="21" name="TextBox 20"/>
            <xdr:cNvSpPr txBox="1"/>
          </xdr:nvSpPr>
          <xdr:spPr>
            <a:xfrm>
              <a:off x="2076450" y="16202025"/>
              <a:ext cx="891013" cy="345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𝐹_𝑖=(𝑃_𝑖∗𝐹_𝑚𝑎𝑥)/</a:t>
              </a:r>
              <a:r>
                <a:rPr lang="en-US" sz="1100" b="0" i="0">
                  <a:solidFill>
                    <a:schemeClr val="tx1"/>
                  </a:solidFill>
                  <a:effectLst/>
                  <a:latin typeface="+mn-lt"/>
                  <a:ea typeface="+mn-ea"/>
                  <a:cs typeface="+mn-cs"/>
                </a:rPr>
                <a:t>𝑃_𝑚𝑎𝑥</a:t>
              </a:r>
              <a:r>
                <a:rPr lang="en-US" sz="1100" b="0" i="0">
                  <a:solidFill>
                    <a:schemeClr val="tx1"/>
                  </a:solidFill>
                  <a:effectLst/>
                  <a:latin typeface="Cambria Math" panose="02040503050406030204" pitchFamily="18" charset="0"/>
                  <a:ea typeface="+mn-ea"/>
                  <a:cs typeface="+mn-cs"/>
                </a:rPr>
                <a:t> </a:t>
              </a:r>
              <a:endParaRPr lang="en-US" sz="1100"/>
            </a:p>
          </xdr:txBody>
        </xdr:sp>
      </mc:Fallback>
    </mc:AlternateContent>
    <xdr:clientData/>
  </xdr:oneCellAnchor>
  <xdr:oneCellAnchor>
    <xdr:from>
      <xdr:col>1</xdr:col>
      <xdr:colOff>219075</xdr:colOff>
      <xdr:row>83</xdr:row>
      <xdr:rowOff>0</xdr:rowOff>
    </xdr:from>
    <xdr:ext cx="148054" cy="172227"/>
    <mc:AlternateContent xmlns:mc="http://schemas.openxmlformats.org/markup-compatibility/2006" xmlns:a14="http://schemas.microsoft.com/office/drawing/2010/main">
      <mc:Choice Requires="a14">
        <xdr:sp macro="" textlink="">
          <xdr:nvSpPr>
            <xdr:cNvPr id="22" name="TextBox 21"/>
            <xdr:cNvSpPr txBox="1"/>
          </xdr:nvSpPr>
          <xdr:spPr>
            <a:xfrm>
              <a:off x="1704975" y="16554450"/>
              <a:ext cx="14805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𝐹</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2" name="TextBox 21"/>
            <xdr:cNvSpPr txBox="1"/>
          </xdr:nvSpPr>
          <xdr:spPr>
            <a:xfrm>
              <a:off x="1704975" y="16554450"/>
              <a:ext cx="14805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𝐹_𝑖</a:t>
              </a:r>
              <a:endParaRPr lang="en-US" sz="1100"/>
            </a:p>
          </xdr:txBody>
        </xdr:sp>
      </mc:Fallback>
    </mc:AlternateContent>
    <xdr:clientData/>
  </xdr:oneCellAnchor>
  <xdr:oneCellAnchor>
    <xdr:from>
      <xdr:col>1</xdr:col>
      <xdr:colOff>142875</xdr:colOff>
      <xdr:row>84</xdr:row>
      <xdr:rowOff>19050</xdr:rowOff>
    </xdr:from>
    <xdr:ext cx="65" cy="172227"/>
    <xdr:sp macro="" textlink="">
      <xdr:nvSpPr>
        <xdr:cNvPr id="23" name="TextBox 22"/>
        <xdr:cNvSpPr txBox="1"/>
      </xdr:nvSpPr>
      <xdr:spPr>
        <a:xfrm>
          <a:off x="1628775" y="1478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228600</xdr:colOff>
      <xdr:row>85</xdr:row>
      <xdr:rowOff>9525</xdr:rowOff>
    </xdr:from>
    <xdr:ext cx="320537" cy="172227"/>
    <mc:AlternateContent xmlns:mc="http://schemas.openxmlformats.org/markup-compatibility/2006" xmlns:a14="http://schemas.microsoft.com/office/drawing/2010/main">
      <mc:Choice Requires="a14">
        <xdr:sp macro="" textlink="">
          <xdr:nvSpPr>
            <xdr:cNvPr id="24" name="TextBox 23"/>
            <xdr:cNvSpPr txBox="1"/>
          </xdr:nvSpPr>
          <xdr:spPr>
            <a:xfrm>
              <a:off x="1714500" y="16944975"/>
              <a:ext cx="32053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𝐹</m:t>
                        </m:r>
                      </m:e>
                      <m:sub>
                        <m:r>
                          <a:rPr lang="en-US" sz="1100" b="0" i="1">
                            <a:latin typeface="Cambria Math" panose="02040503050406030204" pitchFamily="18" charset="0"/>
                          </a:rPr>
                          <m:t>𝑚𝑎𝑥</m:t>
                        </m:r>
                      </m:sub>
                    </m:sSub>
                  </m:oMath>
                </m:oMathPara>
              </a14:m>
              <a:endParaRPr lang="en-US" sz="1100"/>
            </a:p>
          </xdr:txBody>
        </xdr:sp>
      </mc:Choice>
      <mc:Fallback xmlns="">
        <xdr:sp macro="" textlink="">
          <xdr:nvSpPr>
            <xdr:cNvPr id="24" name="TextBox 23"/>
            <xdr:cNvSpPr txBox="1"/>
          </xdr:nvSpPr>
          <xdr:spPr>
            <a:xfrm>
              <a:off x="1714500" y="16944975"/>
              <a:ext cx="32053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𝐹_𝑚𝑎𝑥</a:t>
              </a:r>
              <a:endParaRPr lang="en-US" sz="1100"/>
            </a:p>
          </xdr:txBody>
        </xdr:sp>
      </mc:Fallback>
    </mc:AlternateContent>
    <xdr:clientData/>
  </xdr:oneCellAnchor>
  <xdr:oneCellAnchor>
    <xdr:from>
      <xdr:col>1</xdr:col>
      <xdr:colOff>209550</xdr:colOff>
      <xdr:row>84</xdr:row>
      <xdr:rowOff>0</xdr:rowOff>
    </xdr:from>
    <xdr:ext cx="149656" cy="172227"/>
    <mc:AlternateContent xmlns:mc="http://schemas.openxmlformats.org/markup-compatibility/2006" xmlns:a14="http://schemas.microsoft.com/office/drawing/2010/main">
      <mc:Choice Requires="a14">
        <xdr:sp macro="" textlink="">
          <xdr:nvSpPr>
            <xdr:cNvPr id="25" name="TextBox 24"/>
            <xdr:cNvSpPr txBox="1"/>
          </xdr:nvSpPr>
          <xdr:spPr>
            <a:xfrm>
              <a:off x="1695450" y="14763750"/>
              <a:ext cx="14965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5" name="TextBox 24"/>
            <xdr:cNvSpPr txBox="1"/>
          </xdr:nvSpPr>
          <xdr:spPr>
            <a:xfrm>
              <a:off x="1695450" y="14763750"/>
              <a:ext cx="14965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𝑃_𝑖</a:t>
              </a:r>
              <a:endParaRPr lang="en-US" sz="1100"/>
            </a:p>
          </xdr:txBody>
        </xdr:sp>
      </mc:Fallback>
    </mc:AlternateContent>
    <xdr:clientData/>
  </xdr:oneCellAnchor>
  <xdr:oneCellAnchor>
    <xdr:from>
      <xdr:col>1</xdr:col>
      <xdr:colOff>219075</xdr:colOff>
      <xdr:row>85</xdr:row>
      <xdr:rowOff>209550</xdr:rowOff>
    </xdr:from>
    <xdr:ext cx="321819" cy="172227"/>
    <mc:AlternateContent xmlns:mc="http://schemas.openxmlformats.org/markup-compatibility/2006" xmlns:a14="http://schemas.microsoft.com/office/drawing/2010/main">
      <mc:Choice Requires="a14">
        <xdr:sp macro="" textlink="">
          <xdr:nvSpPr>
            <xdr:cNvPr id="26" name="TextBox 25"/>
            <xdr:cNvSpPr txBox="1"/>
          </xdr:nvSpPr>
          <xdr:spPr>
            <a:xfrm>
              <a:off x="1704975" y="15163800"/>
              <a:ext cx="3218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𝑚𝑎𝑥</m:t>
                        </m:r>
                      </m:sub>
                    </m:sSub>
                  </m:oMath>
                </m:oMathPara>
              </a14:m>
              <a:endParaRPr lang="en-US" sz="1100"/>
            </a:p>
          </xdr:txBody>
        </xdr:sp>
      </mc:Choice>
      <mc:Fallback xmlns="">
        <xdr:sp macro="" textlink="">
          <xdr:nvSpPr>
            <xdr:cNvPr id="26" name="TextBox 25"/>
            <xdr:cNvSpPr txBox="1"/>
          </xdr:nvSpPr>
          <xdr:spPr>
            <a:xfrm>
              <a:off x="1704975" y="15163800"/>
              <a:ext cx="3218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𝑃_𝑚𝑎𝑥</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www.michigan.gov/documents/deq/deq-aqd-air-aqe-sip-pm25-appendixD_223436_7.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uctc.berkeley.edu/access/35/access35.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synapse-energy.com/sites/default/files/2016-Synapse-CO2-Price-Forecast-66-008.pdf" TargetMode="External"/><Relationship Id="rId2" Type="http://schemas.openxmlformats.org/officeDocument/2006/relationships/hyperlink" Target="https://www.osti.gov/scitech/servlets/purl/10114725" TargetMode="External"/><Relationship Id="rId1" Type="http://schemas.openxmlformats.org/officeDocument/2006/relationships/hyperlink" Target="http://www.nhtsa.gov/staticfiles/rulemaking/pdf/cafe/FRIA_2017-2025.pdf" TargetMode="External"/><Relationship Id="rId4"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hyperlink" Target="https://www.eia.gov/dnav/pet/pet_pri_gnd_dcus_nus_a.htm"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nhtsa.gov/press-releases/us-dot-advances-deployment-connected-vehicle-technology-prevent-hundreds-thousands" TargetMode="External"/><Relationship Id="rId2" Type="http://schemas.openxmlformats.org/officeDocument/2006/relationships/hyperlink" Target="https://trid.trb.org/view.aspx?id=1325264" TargetMode="External"/><Relationship Id="rId1" Type="http://schemas.openxmlformats.org/officeDocument/2006/relationships/hyperlink" Target="https://ntl.bts.gov/lib/52000/52600/52602/FHWA-JPO-14-125_v2.pdf" TargetMode="External"/><Relationship Id="rId6" Type="http://schemas.openxmlformats.org/officeDocument/2006/relationships/drawing" Target="../drawings/drawing4.xml"/><Relationship Id="rId5" Type="http://schemas.openxmlformats.org/officeDocument/2006/relationships/printerSettings" Target="../printerSettings/printerSettings10.bin"/><Relationship Id="rId4" Type="http://schemas.openxmlformats.org/officeDocument/2006/relationships/hyperlink" Target="http://www.caee.utexas.edu/prof/kockelman/public_html/TRB17CAVEmission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bea.gov/iTable/iTable.cfm?ReqID=9&amp;step=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transportation.gov/office-policy/transportation-policy/revised-departmental-guidance-valuation-travel-time-economic"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hyperlink" Target="http://www.cmfclearinghouse.org/detail.cfm?facid=1413" TargetMode="External"/><Relationship Id="rId13" Type="http://schemas.openxmlformats.org/officeDocument/2006/relationships/hyperlink" Target="https://www.michigan.gov/documents/mdot/mdot_Crash_Reduction_Factors_303744_7.pdf" TargetMode="External"/><Relationship Id="rId18" Type="http://schemas.openxmlformats.org/officeDocument/2006/relationships/printerSettings" Target="../printerSettings/printerSettings6.bin"/><Relationship Id="rId3" Type="http://schemas.openxmlformats.org/officeDocument/2006/relationships/hyperlink" Target="http://www.cmfclearinghouse.org/detail.cfm?facid=194" TargetMode="External"/><Relationship Id="rId7" Type="http://schemas.openxmlformats.org/officeDocument/2006/relationships/hyperlink" Target="http://www.cmfclearinghouse.org/detail.cfm?facid=4123" TargetMode="External"/><Relationship Id="rId12" Type="http://schemas.openxmlformats.org/officeDocument/2006/relationships/hyperlink" Target="http://www.cmfclearinghouse.org/detail.cfm?facid=1410" TargetMode="External"/><Relationship Id="rId17" Type="http://schemas.openxmlformats.org/officeDocument/2006/relationships/hyperlink" Target="http://www.cmfclearinghouse.org/detail.cfm?facid=1263" TargetMode="External"/><Relationship Id="rId2" Type="http://schemas.openxmlformats.org/officeDocument/2006/relationships/hyperlink" Target="http://www.cmfclearinghouse.org/detail.cfm?facid=63" TargetMode="External"/><Relationship Id="rId16" Type="http://schemas.openxmlformats.org/officeDocument/2006/relationships/hyperlink" Target="https://www.michigan.gov/documents/mdot/mdot_Crash_Reduction_Factors_303744_7.pdf" TargetMode="External"/><Relationship Id="rId1" Type="http://schemas.openxmlformats.org/officeDocument/2006/relationships/hyperlink" Target="http://www.cmfclearinghouse.org/detail.cfm?facid=62" TargetMode="External"/><Relationship Id="rId6" Type="http://schemas.openxmlformats.org/officeDocument/2006/relationships/hyperlink" Target="http://www.cmfclearinghouse.org/detail.cfm?facid=2950" TargetMode="External"/><Relationship Id="rId11" Type="http://schemas.openxmlformats.org/officeDocument/2006/relationships/hyperlink" Target="https://www.michigan.gov/documents/mdot/mdot_Crash_Reduction_Factors_303744_7.pdf" TargetMode="External"/><Relationship Id="rId5" Type="http://schemas.openxmlformats.org/officeDocument/2006/relationships/hyperlink" Target="http://www.cmfclearinghouse.org/detail.cfm?facid=198" TargetMode="External"/><Relationship Id="rId15" Type="http://schemas.openxmlformats.org/officeDocument/2006/relationships/hyperlink" Target="http://www.cmfclearinghouse.org/detail.cfm?facid=1802" TargetMode="External"/><Relationship Id="rId10" Type="http://schemas.openxmlformats.org/officeDocument/2006/relationships/hyperlink" Target="https://www.michigan.gov/documents/mdot/mdot_Crash_Reduction_Factors_303744_7.pdf" TargetMode="External"/><Relationship Id="rId4" Type="http://schemas.openxmlformats.org/officeDocument/2006/relationships/hyperlink" Target="http://www.cmfclearinghouse.org/detail.cfm?facid=197" TargetMode="External"/><Relationship Id="rId9" Type="http://schemas.openxmlformats.org/officeDocument/2006/relationships/hyperlink" Target="http://www.cmfclearinghouse.org/detail.cfm?facid=1418" TargetMode="External"/><Relationship Id="rId14" Type="http://schemas.openxmlformats.org/officeDocument/2006/relationships/hyperlink" Target="https://www.michigan.gov/documents/mdot/mdot_Crash_Reduction_Factors_303744_7.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D16"/>
  <sheetViews>
    <sheetView zoomScale="110" zoomScaleNormal="110" workbookViewId="0">
      <selection activeCell="D1" sqref="D1"/>
    </sheetView>
  </sheetViews>
  <sheetFormatPr defaultRowHeight="15" x14ac:dyDescent="0.25"/>
  <cols>
    <col min="1" max="1" width="24.7109375" style="14" customWidth="1"/>
    <col min="2" max="2" width="24" style="14" customWidth="1"/>
    <col min="3" max="3" width="23.140625" style="14" customWidth="1"/>
    <col min="4" max="4" width="14.28515625" style="14" customWidth="1"/>
  </cols>
  <sheetData>
    <row r="1" spans="1:4" ht="59.25" customHeight="1" x14ac:dyDescent="0.25">
      <c r="A1" s="458" t="s">
        <v>9</v>
      </c>
      <c r="B1" s="458" t="s">
        <v>454</v>
      </c>
      <c r="C1" s="458" t="s">
        <v>10</v>
      </c>
      <c r="D1" s="458" t="s">
        <v>11</v>
      </c>
    </row>
    <row r="2" spans="1:4" s="459" customFormat="1" ht="112.5" customHeight="1" x14ac:dyDescent="0.25">
      <c r="A2" s="461" t="s">
        <v>455</v>
      </c>
      <c r="B2" s="461" t="s">
        <v>458</v>
      </c>
      <c r="C2" s="461" t="s">
        <v>473</v>
      </c>
      <c r="D2" s="461" t="s">
        <v>456</v>
      </c>
    </row>
    <row r="3" spans="1:4" s="459" customFormat="1" ht="135" customHeight="1" x14ac:dyDescent="0.25">
      <c r="A3" s="461" t="s">
        <v>457</v>
      </c>
      <c r="B3" s="461" t="s">
        <v>464</v>
      </c>
      <c r="C3" s="462" t="s">
        <v>459</v>
      </c>
      <c r="D3" s="461" t="s">
        <v>456</v>
      </c>
    </row>
    <row r="4" spans="1:4" s="459" customFormat="1" ht="25.5" x14ac:dyDescent="0.25">
      <c r="A4" s="463" t="s">
        <v>460</v>
      </c>
      <c r="B4" s="463" t="s">
        <v>462</v>
      </c>
      <c r="C4" s="463" t="s">
        <v>461</v>
      </c>
      <c r="D4" s="461" t="s">
        <v>456</v>
      </c>
    </row>
    <row r="5" spans="1:4" s="459" customFormat="1" ht="82.5" customHeight="1" x14ac:dyDescent="0.25">
      <c r="A5" s="462" t="s">
        <v>463</v>
      </c>
      <c r="B5" s="462" t="s">
        <v>465</v>
      </c>
      <c r="C5" s="461" t="s">
        <v>466</v>
      </c>
      <c r="D5" s="461" t="s">
        <v>456</v>
      </c>
    </row>
    <row r="6" spans="1:4" s="459" customFormat="1" ht="30" customHeight="1" x14ac:dyDescent="0.25">
      <c r="A6" s="463" t="s">
        <v>467</v>
      </c>
      <c r="B6" s="463" t="s">
        <v>468</v>
      </c>
      <c r="C6" s="461" t="s">
        <v>469</v>
      </c>
      <c r="D6" s="461" t="s">
        <v>456</v>
      </c>
    </row>
    <row r="7" spans="1:4" s="460" customFormat="1" ht="165" x14ac:dyDescent="0.25">
      <c r="A7" s="464" t="s">
        <v>471</v>
      </c>
      <c r="B7" s="464" t="s">
        <v>470</v>
      </c>
      <c r="C7" s="464" t="s">
        <v>472</v>
      </c>
      <c r="D7" s="461" t="s">
        <v>456</v>
      </c>
    </row>
    <row r="8" spans="1:4" s="459" customFormat="1" x14ac:dyDescent="0.25"/>
    <row r="9" spans="1:4" s="459" customFormat="1" x14ac:dyDescent="0.25"/>
    <row r="10" spans="1:4" s="459" customFormat="1" x14ac:dyDescent="0.25"/>
    <row r="11" spans="1:4" s="459" customFormat="1" x14ac:dyDescent="0.25"/>
    <row r="12" spans="1:4" s="459" customFormat="1" x14ac:dyDescent="0.25"/>
    <row r="13" spans="1:4" s="459" customFormat="1" x14ac:dyDescent="0.25"/>
    <row r="14" spans="1:4" s="459" customFormat="1" x14ac:dyDescent="0.25"/>
    <row r="15" spans="1:4" s="459" customFormat="1" x14ac:dyDescent="0.25"/>
    <row r="16" spans="1:4" s="459" customFormat="1" x14ac:dyDescent="0.25"/>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sheetPr>
  <dimension ref="A1:M38"/>
  <sheetViews>
    <sheetView workbookViewId="0">
      <selection activeCell="G36" sqref="G36"/>
    </sheetView>
  </sheetViews>
  <sheetFormatPr defaultRowHeight="15" x14ac:dyDescent="0.25"/>
  <cols>
    <col min="1" max="2" width="12.85546875" customWidth="1"/>
    <col min="3" max="12" width="16" customWidth="1"/>
    <col min="13" max="13" width="16.28515625" customWidth="1"/>
  </cols>
  <sheetData>
    <row r="1" spans="1:13" x14ac:dyDescent="0.25">
      <c r="A1" s="478" t="s">
        <v>247</v>
      </c>
      <c r="B1" s="478"/>
      <c r="C1" s="478"/>
      <c r="D1" s="478"/>
      <c r="E1" s="478"/>
      <c r="F1" s="478"/>
      <c r="G1" s="478"/>
      <c r="H1" s="478"/>
      <c r="I1" s="478"/>
      <c r="J1" s="478"/>
      <c r="K1" s="478"/>
      <c r="L1" s="478"/>
      <c r="M1" s="478"/>
    </row>
    <row r="3" spans="1:13" ht="60" x14ac:dyDescent="0.25">
      <c r="A3" s="20" t="s">
        <v>0</v>
      </c>
      <c r="B3" s="87" t="s">
        <v>7</v>
      </c>
      <c r="C3" s="87" t="s">
        <v>248</v>
      </c>
      <c r="D3" s="87" t="s">
        <v>249</v>
      </c>
      <c r="E3" s="87" t="s">
        <v>250</v>
      </c>
      <c r="F3" s="87" t="s">
        <v>251</v>
      </c>
      <c r="G3" s="87" t="s">
        <v>278</v>
      </c>
      <c r="H3" s="87" t="s">
        <v>365</v>
      </c>
      <c r="I3" s="87" t="s">
        <v>366</v>
      </c>
      <c r="J3" s="87" t="s">
        <v>367</v>
      </c>
      <c r="K3" s="87" t="s">
        <v>368</v>
      </c>
      <c r="L3" s="87" t="s">
        <v>369</v>
      </c>
      <c r="M3" s="87" t="s">
        <v>370</v>
      </c>
    </row>
    <row r="4" spans="1:13" x14ac:dyDescent="0.25">
      <c r="A4" s="89">
        <v>2016</v>
      </c>
      <c r="B4" s="29" t="s">
        <v>109</v>
      </c>
      <c r="C4" s="270">
        <f>SUM('Emission - Calc (Non-CO2)'!AI6:AI91)*1.015</f>
        <v>3.6577397535656817</v>
      </c>
      <c r="D4" s="270">
        <f>SUM('Emission - Calc (Non-CO2)'!AJ6:AJ91)*1.015</f>
        <v>4.8210355541968859</v>
      </c>
      <c r="E4" s="270">
        <f>SUM('Emission - Calc (Non-CO2)'!AL6:AL91)*1.015</f>
        <v>0.70019302677167816</v>
      </c>
      <c r="F4" s="270">
        <f>SUM('Emission - Calc (Non-CO2)'!AK6:AK91)*1.015</f>
        <v>38.615784545177121</v>
      </c>
      <c r="G4" s="90">
        <f>SUM('Emission - Calc (CO2)'!Q5:Q90)*1.015</f>
        <v>3791.1051698016886</v>
      </c>
      <c r="H4" s="91">
        <v>0</v>
      </c>
      <c r="I4" s="91">
        <v>0</v>
      </c>
      <c r="J4" s="91">
        <v>0</v>
      </c>
      <c r="K4" s="91">
        <v>0</v>
      </c>
      <c r="L4" s="91">
        <v>0</v>
      </c>
      <c r="M4" s="91">
        <f>SUM(H4:L4)</f>
        <v>0</v>
      </c>
    </row>
    <row r="5" spans="1:13" x14ac:dyDescent="0.25">
      <c r="A5" s="89">
        <v>2017</v>
      </c>
      <c r="B5" s="29" t="s">
        <v>109</v>
      </c>
      <c r="C5" s="270">
        <f>C4*1.015</f>
        <v>3.7126058498691665</v>
      </c>
      <c r="D5" s="270">
        <f>D4*1.015</f>
        <v>4.8933510875098385</v>
      </c>
      <c r="E5" s="270">
        <f>E4*1.015</f>
        <v>0.71069592217325328</v>
      </c>
      <c r="F5" s="270">
        <f>F4*1.015</f>
        <v>39.195021313354772</v>
      </c>
      <c r="G5" s="90">
        <f>G4*1.015</f>
        <v>3847.9717473487135</v>
      </c>
      <c r="H5" s="91">
        <v>0</v>
      </c>
      <c r="I5" s="91">
        <v>0</v>
      </c>
      <c r="J5" s="91">
        <v>0</v>
      </c>
      <c r="K5" s="91">
        <v>0</v>
      </c>
      <c r="L5" s="91">
        <v>0</v>
      </c>
      <c r="M5" s="91">
        <f t="shared" ref="M5:M30" si="0">SUM(H5:L5)</f>
        <v>0</v>
      </c>
    </row>
    <row r="6" spans="1:13" x14ac:dyDescent="0.25">
      <c r="A6" s="89">
        <v>2018</v>
      </c>
      <c r="B6" s="29" t="s">
        <v>109</v>
      </c>
      <c r="C6" s="270">
        <f t="shared" ref="C6:C30" si="1">C5*1.015</f>
        <v>3.7682949376172035</v>
      </c>
      <c r="D6" s="270">
        <f t="shared" ref="D6:D30" si="2">D5*1.015</f>
        <v>4.9667513538224854</v>
      </c>
      <c r="E6" s="270">
        <f t="shared" ref="E6:E30" si="3">E5*1.015</f>
        <v>0.72135636100585199</v>
      </c>
      <c r="F6" s="270">
        <f t="shared" ref="F6:F30" si="4">F5*1.015</f>
        <v>39.78294663305509</v>
      </c>
      <c r="G6" s="90">
        <f t="shared" ref="G6:G30" si="5">G5*1.015</f>
        <v>3905.6913235589436</v>
      </c>
      <c r="H6" s="91">
        <v>0</v>
      </c>
      <c r="I6" s="91">
        <v>0</v>
      </c>
      <c r="J6" s="91">
        <v>0</v>
      </c>
      <c r="K6" s="91">
        <v>0</v>
      </c>
      <c r="L6" s="91">
        <v>0</v>
      </c>
      <c r="M6" s="91">
        <f t="shared" si="0"/>
        <v>0</v>
      </c>
    </row>
    <row r="7" spans="1:13" x14ac:dyDescent="0.25">
      <c r="A7" s="89">
        <v>2019</v>
      </c>
      <c r="B7" s="29" t="s">
        <v>109</v>
      </c>
      <c r="C7" s="270">
        <f t="shared" si="1"/>
        <v>3.824819361681461</v>
      </c>
      <c r="D7" s="270">
        <f t="shared" si="2"/>
        <v>5.0412526241298226</v>
      </c>
      <c r="E7" s="270">
        <f t="shared" si="3"/>
        <v>0.73217670642093968</v>
      </c>
      <c r="F7" s="270">
        <f t="shared" si="4"/>
        <v>40.379690832550914</v>
      </c>
      <c r="G7" s="90">
        <f t="shared" si="5"/>
        <v>3964.2766934123274</v>
      </c>
      <c r="H7" s="91">
        <v>0</v>
      </c>
      <c r="I7" s="91">
        <v>0</v>
      </c>
      <c r="J7" s="91">
        <v>0</v>
      </c>
      <c r="K7" s="91">
        <v>0</v>
      </c>
      <c r="L7" s="91">
        <v>0</v>
      </c>
      <c r="M7" s="91">
        <f t="shared" si="0"/>
        <v>0</v>
      </c>
    </row>
    <row r="8" spans="1:13" x14ac:dyDescent="0.25">
      <c r="A8" s="29" t="s">
        <v>105</v>
      </c>
      <c r="B8" s="29" t="s">
        <v>110</v>
      </c>
      <c r="C8" s="270">
        <f t="shared" si="1"/>
        <v>3.8821916521066826</v>
      </c>
      <c r="D8" s="270">
        <f t="shared" si="2"/>
        <v>5.1168714134917694</v>
      </c>
      <c r="E8" s="270">
        <f t="shared" si="3"/>
        <v>0.74315935701725366</v>
      </c>
      <c r="F8" s="270">
        <f t="shared" si="4"/>
        <v>40.985386195039176</v>
      </c>
      <c r="G8" s="90">
        <f t="shared" si="5"/>
        <v>4023.7408438135121</v>
      </c>
      <c r="H8" s="91">
        <v>0</v>
      </c>
      <c r="I8" s="91">
        <v>0</v>
      </c>
      <c r="J8" s="91">
        <v>0</v>
      </c>
      <c r="K8" s="91">
        <v>0</v>
      </c>
      <c r="L8" s="91">
        <v>0</v>
      </c>
      <c r="M8" s="91">
        <f t="shared" si="0"/>
        <v>0</v>
      </c>
    </row>
    <row r="9" spans="1:13" x14ac:dyDescent="0.25">
      <c r="A9" s="89">
        <v>2021</v>
      </c>
      <c r="B9" s="29" t="s">
        <v>110</v>
      </c>
      <c r="C9" s="270">
        <f t="shared" si="1"/>
        <v>3.9404245268882825</v>
      </c>
      <c r="D9" s="270">
        <f t="shared" si="2"/>
        <v>5.1936244846941451</v>
      </c>
      <c r="E9" s="270">
        <f t="shared" si="3"/>
        <v>0.75430674737251235</v>
      </c>
      <c r="F9" s="270">
        <f t="shared" si="4"/>
        <v>41.600166987964762</v>
      </c>
      <c r="G9" s="90">
        <f t="shared" si="5"/>
        <v>4084.0969564707143</v>
      </c>
      <c r="H9" s="91">
        <v>0</v>
      </c>
      <c r="I9" s="91">
        <v>0</v>
      </c>
      <c r="J9" s="91">
        <v>0</v>
      </c>
      <c r="K9" s="91">
        <v>0</v>
      </c>
      <c r="L9" s="91">
        <v>0</v>
      </c>
      <c r="M9" s="91">
        <f t="shared" si="0"/>
        <v>0</v>
      </c>
    </row>
    <row r="10" spans="1:13" x14ac:dyDescent="0.25">
      <c r="A10" s="29" t="s">
        <v>106</v>
      </c>
      <c r="B10" s="29" t="s">
        <v>110</v>
      </c>
      <c r="C10" s="270">
        <f t="shared" si="1"/>
        <v>3.9995308947916062</v>
      </c>
      <c r="D10" s="270">
        <f t="shared" si="2"/>
        <v>5.2715288519645567</v>
      </c>
      <c r="E10" s="270">
        <f t="shared" si="3"/>
        <v>0.76562134858309994</v>
      </c>
      <c r="F10" s="270">
        <f t="shared" si="4"/>
        <v>42.224169492784227</v>
      </c>
      <c r="G10" s="90">
        <f t="shared" si="5"/>
        <v>4145.3584108177747</v>
      </c>
      <c r="H10" s="91">
        <v>0</v>
      </c>
      <c r="I10" s="91">
        <v>0</v>
      </c>
      <c r="J10" s="91">
        <v>0</v>
      </c>
      <c r="K10" s="91">
        <v>0</v>
      </c>
      <c r="L10" s="91">
        <v>0</v>
      </c>
      <c r="M10" s="91">
        <f t="shared" si="0"/>
        <v>0</v>
      </c>
    </row>
    <row r="11" spans="1:13" x14ac:dyDescent="0.25">
      <c r="A11" s="89">
        <v>2023</v>
      </c>
      <c r="B11" s="89">
        <v>1</v>
      </c>
      <c r="C11" s="270">
        <f t="shared" si="1"/>
        <v>4.0595238582134803</v>
      </c>
      <c r="D11" s="270">
        <f t="shared" si="2"/>
        <v>5.3506017847440246</v>
      </c>
      <c r="E11" s="270">
        <f t="shared" si="3"/>
        <v>0.7771056688118464</v>
      </c>
      <c r="F11" s="270">
        <f t="shared" si="4"/>
        <v>42.857532035175986</v>
      </c>
      <c r="G11" s="90">
        <f t="shared" si="5"/>
        <v>4207.5387869800406</v>
      </c>
      <c r="H11" s="91">
        <f>C11*'Emission - Values'!$B$4</f>
        <v>7599.4286625756349</v>
      </c>
      <c r="I11" s="91">
        <f>D11*'Emission - Values'!$B$5</f>
        <v>39471.389366056668</v>
      </c>
      <c r="J11" s="91">
        <f>E11*'Emission - Values'!$B$6</f>
        <v>262241.30189157685</v>
      </c>
      <c r="K11" s="91">
        <f>F11*'Emission - Values'!$C$17</f>
        <v>201306.9623015594</v>
      </c>
      <c r="L11" s="285">
        <f>G11*'Emission - Values'!C35</f>
        <v>88458.874703589681</v>
      </c>
      <c r="M11" s="91">
        <f t="shared" si="0"/>
        <v>599077.95692535827</v>
      </c>
    </row>
    <row r="12" spans="1:13" x14ac:dyDescent="0.25">
      <c r="A12" s="89">
        <v>2024</v>
      </c>
      <c r="B12" s="89">
        <v>2</v>
      </c>
      <c r="C12" s="270">
        <f t="shared" si="1"/>
        <v>4.120416716086682</v>
      </c>
      <c r="D12" s="270">
        <f t="shared" si="2"/>
        <v>5.4308608115151848</v>
      </c>
      <c r="E12" s="270">
        <f t="shared" si="3"/>
        <v>0.78876225384402399</v>
      </c>
      <c r="F12" s="270">
        <f t="shared" si="4"/>
        <v>43.500395015703624</v>
      </c>
      <c r="G12" s="90">
        <f t="shared" si="5"/>
        <v>4270.6518687847411</v>
      </c>
      <c r="H12" s="91">
        <f>C12*'Emission - Values'!$B$4</f>
        <v>7713.4200925142686</v>
      </c>
      <c r="I12" s="91">
        <f>D12*'Emission - Values'!$B$5</f>
        <v>40063.460206547519</v>
      </c>
      <c r="J12" s="91">
        <f>E12*'Emission - Values'!$B$6</f>
        <v>266174.92141995049</v>
      </c>
      <c r="K12" s="91">
        <f>F12*'Emission - Values'!$C$17</f>
        <v>204326.56673608278</v>
      </c>
      <c r="L12" s="285">
        <f>G12*'Emission - Values'!C36</f>
        <v>93031.026179233057</v>
      </c>
      <c r="M12" s="91">
        <f t="shared" si="0"/>
        <v>611309.39463432808</v>
      </c>
    </row>
    <row r="13" spans="1:13" x14ac:dyDescent="0.25">
      <c r="A13" s="89">
        <v>2025</v>
      </c>
      <c r="B13" s="89">
        <v>3</v>
      </c>
      <c r="C13" s="270">
        <f t="shared" si="1"/>
        <v>4.1822229668279816</v>
      </c>
      <c r="D13" s="270">
        <f t="shared" si="2"/>
        <v>5.5123237236879117</v>
      </c>
      <c r="E13" s="270">
        <f t="shared" si="3"/>
        <v>0.80059368765168426</v>
      </c>
      <c r="F13" s="270">
        <f t="shared" si="4"/>
        <v>44.152900940939176</v>
      </c>
      <c r="G13" s="90">
        <f t="shared" si="5"/>
        <v>4334.7116468165113</v>
      </c>
      <c r="H13" s="91">
        <f>C13*'Emission - Values'!$B$4</f>
        <v>7829.1213939019817</v>
      </c>
      <c r="I13" s="91">
        <f>D13*'Emission - Values'!$B$5</f>
        <v>40664.412109645724</v>
      </c>
      <c r="J13" s="91">
        <f>E13*'Emission - Values'!$B$6</f>
        <v>270167.54524124973</v>
      </c>
      <c r="K13" s="91">
        <f>F13*'Emission - Values'!$C$17</f>
        <v>207391.46523712401</v>
      </c>
      <c r="L13" s="285">
        <f>G13*'Emission - Values'!C37</f>
        <v>97720.438952337397</v>
      </c>
      <c r="M13" s="91">
        <f t="shared" si="0"/>
        <v>623772.98293425876</v>
      </c>
    </row>
    <row r="14" spans="1:13" x14ac:dyDescent="0.25">
      <c r="A14" s="89">
        <v>2026</v>
      </c>
      <c r="B14" s="89">
        <v>4</v>
      </c>
      <c r="C14" s="270">
        <f t="shared" si="1"/>
        <v>4.2449563113304007</v>
      </c>
      <c r="D14" s="270">
        <f t="shared" si="2"/>
        <v>5.5950085795432294</v>
      </c>
      <c r="E14" s="270">
        <f t="shared" si="3"/>
        <v>0.81260259296645942</v>
      </c>
      <c r="F14" s="270">
        <f t="shared" si="4"/>
        <v>44.815194455053259</v>
      </c>
      <c r="G14" s="90">
        <f t="shared" si="5"/>
        <v>4399.7323215187589</v>
      </c>
      <c r="H14" s="91">
        <f>C14*'Emission - Values'!$B$4</f>
        <v>7946.5582148105104</v>
      </c>
      <c r="I14" s="91">
        <f>D14*'Emission - Values'!$B$5</f>
        <v>41274.378291290406</v>
      </c>
      <c r="J14" s="91">
        <f>E14*'Emission - Values'!$B$6</f>
        <v>274220.05841986841</v>
      </c>
      <c r="K14" s="91">
        <f>F14*'Emission - Values'!$C$17</f>
        <v>210502.33721568086</v>
      </c>
      <c r="L14" s="285">
        <f>G14*'Emission - Values'!C38</f>
        <v>102529.60212774457</v>
      </c>
      <c r="M14" s="91">
        <f t="shared" si="0"/>
        <v>636472.93426939473</v>
      </c>
    </row>
    <row r="15" spans="1:13" x14ac:dyDescent="0.25">
      <c r="A15" s="89">
        <v>2027</v>
      </c>
      <c r="B15" s="89">
        <v>5</v>
      </c>
      <c r="C15" s="270">
        <f t="shared" si="1"/>
        <v>4.3086306560003562</v>
      </c>
      <c r="D15" s="270">
        <f t="shared" si="2"/>
        <v>5.6789337082363769</v>
      </c>
      <c r="E15" s="270">
        <f t="shared" si="3"/>
        <v>0.82479163186095628</v>
      </c>
      <c r="F15" s="270">
        <f t="shared" si="4"/>
        <v>45.487422371879056</v>
      </c>
      <c r="G15" s="90">
        <f t="shared" si="5"/>
        <v>4465.7283063415398</v>
      </c>
      <c r="H15" s="91">
        <f>C15*'Emission - Values'!$B$4</f>
        <v>8065.7565880326665</v>
      </c>
      <c r="I15" s="91">
        <f>D15*'Emission - Values'!$B$5</f>
        <v>41893.493965659749</v>
      </c>
      <c r="J15" s="91">
        <f>E15*'Emission - Values'!$B$6</f>
        <v>278333.35929616645</v>
      </c>
      <c r="K15" s="91">
        <f>F15*'Emission - Values'!$C$17</f>
        <v>213659.87227391606</v>
      </c>
      <c r="L15" s="285">
        <f>G15*'Emission - Values'!C39</f>
        <v>107461.05309964965</v>
      </c>
      <c r="M15" s="91">
        <f t="shared" si="0"/>
        <v>649413.53522342455</v>
      </c>
    </row>
    <row r="16" spans="1:13" x14ac:dyDescent="0.25">
      <c r="A16" s="89">
        <v>2028</v>
      </c>
      <c r="B16" s="89">
        <v>6</v>
      </c>
      <c r="C16" s="270">
        <f t="shared" si="1"/>
        <v>4.3732601158403615</v>
      </c>
      <c r="D16" s="270">
        <f t="shared" si="2"/>
        <v>5.764117713859922</v>
      </c>
      <c r="E16" s="270">
        <f t="shared" si="3"/>
        <v>0.83716350633887049</v>
      </c>
      <c r="F16" s="270">
        <f t="shared" si="4"/>
        <v>46.16973370745724</v>
      </c>
      <c r="G16" s="90">
        <f t="shared" si="5"/>
        <v>4532.7142309366627</v>
      </c>
      <c r="H16" s="91">
        <f>C16*'Emission - Values'!$B$4</f>
        <v>8186.7429368531566</v>
      </c>
      <c r="I16" s="91">
        <f>D16*'Emission - Values'!$B$5</f>
        <v>42521.896375144643</v>
      </c>
      <c r="J16" s="91">
        <f>E16*'Emission - Values'!$B$6</f>
        <v>282508.35968560888</v>
      </c>
      <c r="K16" s="91">
        <f>F16*'Emission - Values'!$C$17</f>
        <v>216864.77035802478</v>
      </c>
      <c r="L16" s="285">
        <f>G16*'Emission - Values'!C40</f>
        <v>112517.37844023317</v>
      </c>
      <c r="M16" s="91">
        <f t="shared" si="0"/>
        <v>662599.14779586461</v>
      </c>
    </row>
    <row r="17" spans="1:13" x14ac:dyDescent="0.25">
      <c r="A17" s="89">
        <v>2029</v>
      </c>
      <c r="B17" s="89">
        <v>7</v>
      </c>
      <c r="C17" s="270">
        <f t="shared" si="1"/>
        <v>4.4388590175779665</v>
      </c>
      <c r="D17" s="270">
        <f t="shared" si="2"/>
        <v>5.8505794795678199</v>
      </c>
      <c r="E17" s="270">
        <f t="shared" si="3"/>
        <v>0.8497209589339535</v>
      </c>
      <c r="F17" s="270">
        <f t="shared" si="4"/>
        <v>46.862279713069093</v>
      </c>
      <c r="G17" s="90">
        <f t="shared" si="5"/>
        <v>4600.7049444007125</v>
      </c>
      <c r="H17" s="91">
        <f>C17*'Emission - Values'!$B$4</f>
        <v>8309.5440809059528</v>
      </c>
      <c r="I17" s="91">
        <f>D17*'Emission - Values'!$B$5</f>
        <v>43159.724820771808</v>
      </c>
      <c r="J17" s="91">
        <f>E17*'Emission - Values'!$B$6</f>
        <v>286745.98508089304</v>
      </c>
      <c r="K17" s="91">
        <f>F17*'Emission - Values'!$C$17</f>
        <v>220117.74191339512</v>
      </c>
      <c r="L17" s="285">
        <f>G17*'Emission - Values'!C41</f>
        <v>117701.21480408676</v>
      </c>
      <c r="M17" s="91">
        <f t="shared" si="0"/>
        <v>676034.21070005267</v>
      </c>
    </row>
    <row r="18" spans="1:13" x14ac:dyDescent="0.25">
      <c r="A18" s="89">
        <v>2030</v>
      </c>
      <c r="B18" s="89">
        <v>8</v>
      </c>
      <c r="C18" s="270">
        <f t="shared" si="1"/>
        <v>4.5054419028416355</v>
      </c>
      <c r="D18" s="270">
        <f t="shared" si="2"/>
        <v>5.9383381717613366</v>
      </c>
      <c r="E18" s="270">
        <f t="shared" si="3"/>
        <v>0.86246677331796273</v>
      </c>
      <c r="F18" s="270">
        <f t="shared" si="4"/>
        <v>47.565213908765124</v>
      </c>
      <c r="G18" s="90">
        <f t="shared" si="5"/>
        <v>4669.7155185667225</v>
      </c>
      <c r="H18" s="91">
        <f>C18*'Emission - Values'!$B$4</f>
        <v>8434.1872421195421</v>
      </c>
      <c r="I18" s="91">
        <f>D18*'Emission - Values'!$B$5</f>
        <v>43807.12069308338</v>
      </c>
      <c r="J18" s="91">
        <f>E18*'Emission - Values'!$B$6</f>
        <v>291047.17485710641</v>
      </c>
      <c r="K18" s="91">
        <f>F18*'Emission - Values'!$C$17</f>
        <v>223419.50804209604</v>
      </c>
      <c r="L18" s="285">
        <f>G18*'Emission - Values'!C42</f>
        <v>123015.2498487069</v>
      </c>
      <c r="M18" s="91">
        <f t="shared" si="0"/>
        <v>689723.24068311229</v>
      </c>
    </row>
    <row r="19" spans="1:13" x14ac:dyDescent="0.25">
      <c r="A19" s="89">
        <v>2031</v>
      </c>
      <c r="B19" s="89">
        <v>9</v>
      </c>
      <c r="C19" s="270">
        <f t="shared" si="1"/>
        <v>4.5730235313842593</v>
      </c>
      <c r="D19" s="270">
        <f t="shared" si="2"/>
        <v>6.0274132443377564</v>
      </c>
      <c r="E19" s="270">
        <f t="shared" si="3"/>
        <v>0.87540377491773214</v>
      </c>
      <c r="F19" s="270">
        <f t="shared" si="4"/>
        <v>48.278692117396595</v>
      </c>
      <c r="G19" s="90">
        <f t="shared" si="5"/>
        <v>4739.7612513452232</v>
      </c>
      <c r="H19" s="91">
        <f>C19*'Emission - Values'!$B$4</f>
        <v>8560.700050751333</v>
      </c>
      <c r="I19" s="91">
        <f>D19*'Emission - Values'!$B$5</f>
        <v>44464.227503479626</v>
      </c>
      <c r="J19" s="91">
        <f>E19*'Emission - Values'!$B$6</f>
        <v>295412.88247996295</v>
      </c>
      <c r="K19" s="91">
        <f>F19*'Emission - Values'!$C$17</f>
        <v>226770.80066272744</v>
      </c>
      <c r="L19" s="285">
        <f>G19*'Emission - Values'!C43</f>
        <v>139267.45689602644</v>
      </c>
      <c r="M19" s="91">
        <f t="shared" si="0"/>
        <v>714476.06759294774</v>
      </c>
    </row>
    <row r="20" spans="1:13" x14ac:dyDescent="0.25">
      <c r="A20" s="89">
        <v>2032</v>
      </c>
      <c r="B20" s="89">
        <v>10</v>
      </c>
      <c r="C20" s="270">
        <f t="shared" si="1"/>
        <v>4.6416188843550223</v>
      </c>
      <c r="D20" s="270">
        <f t="shared" si="2"/>
        <v>6.1178244430028226</v>
      </c>
      <c r="E20" s="270">
        <f t="shared" si="3"/>
        <v>0.88853483154149804</v>
      </c>
      <c r="F20" s="270">
        <f t="shared" si="4"/>
        <v>49.00287249915754</v>
      </c>
      <c r="G20" s="90">
        <f t="shared" si="5"/>
        <v>4810.8576701154007</v>
      </c>
      <c r="H20" s="91">
        <f>C20*'Emission - Values'!$B$4</f>
        <v>8689.1105515126019</v>
      </c>
      <c r="I20" s="91">
        <f>D20*'Emission - Values'!$B$5</f>
        <v>45131.190916031825</v>
      </c>
      <c r="J20" s="91">
        <f>E20*'Emission - Values'!$B$6</f>
        <v>299844.0757171624</v>
      </c>
      <c r="K20" s="91">
        <f>F20*'Emission - Values'!$C$17</f>
        <v>230172.36267266833</v>
      </c>
      <c r="L20" s="285">
        <f>G20*'Emission - Values'!C44</f>
        <v>155979.55172354958</v>
      </c>
      <c r="M20" s="91">
        <f t="shared" si="0"/>
        <v>739816.29158092476</v>
      </c>
    </row>
    <row r="21" spans="1:13" x14ac:dyDescent="0.25">
      <c r="A21" s="89">
        <v>2033</v>
      </c>
      <c r="B21" s="89">
        <v>11</v>
      </c>
      <c r="C21" s="270">
        <f t="shared" si="1"/>
        <v>4.7112431676203474</v>
      </c>
      <c r="D21" s="270">
        <f t="shared" si="2"/>
        <v>6.2095918096478639</v>
      </c>
      <c r="E21" s="270">
        <f t="shared" si="3"/>
        <v>0.90186285401462041</v>
      </c>
      <c r="F21" s="270">
        <f t="shared" si="4"/>
        <v>49.737915586644895</v>
      </c>
      <c r="G21" s="90">
        <f t="shared" si="5"/>
        <v>4883.0205351671311</v>
      </c>
      <c r="H21" s="91">
        <f>C21*'Emission - Values'!$B$4</f>
        <v>8819.4472097852904</v>
      </c>
      <c r="I21" s="91">
        <f>D21*'Emission - Values'!$B$5</f>
        <v>45808.15877977229</v>
      </c>
      <c r="J21" s="91">
        <f>E21*'Emission - Values'!$B$6</f>
        <v>304341.7368529198</v>
      </c>
      <c r="K21" s="91">
        <f>F21*'Emission - Values'!$C$17</f>
        <v>233624.94811275834</v>
      </c>
      <c r="L21" s="285">
        <f>G21*'Emission - Values'!C45</f>
        <v>173161.67421809683</v>
      </c>
      <c r="M21" s="91">
        <f t="shared" si="0"/>
        <v>765755.96517333249</v>
      </c>
    </row>
    <row r="22" spans="1:13" x14ac:dyDescent="0.25">
      <c r="A22" s="89">
        <v>2034</v>
      </c>
      <c r="B22" s="89">
        <v>12</v>
      </c>
      <c r="C22" s="270">
        <f t="shared" si="1"/>
        <v>4.7819118151346522</v>
      </c>
      <c r="D22" s="270">
        <f t="shared" si="2"/>
        <v>6.3027356867925812</v>
      </c>
      <c r="E22" s="270">
        <f t="shared" si="3"/>
        <v>0.91539079682483959</v>
      </c>
      <c r="F22" s="270">
        <f t="shared" si="4"/>
        <v>50.483984320444563</v>
      </c>
      <c r="G22" s="90">
        <f t="shared" si="5"/>
        <v>4956.2658431946375</v>
      </c>
      <c r="H22" s="91">
        <f>C22*'Emission - Values'!$B$4</f>
        <v>8951.7389179320689</v>
      </c>
      <c r="I22" s="91">
        <f>D22*'Emission - Values'!$B$5</f>
        <v>46495.281161468869</v>
      </c>
      <c r="J22" s="91">
        <f>E22*'Emission - Values'!$B$6</f>
        <v>308906.86290571355</v>
      </c>
      <c r="K22" s="91">
        <f>F22*'Emission - Values'!$C$17</f>
        <v>237129.32233444968</v>
      </c>
      <c r="L22" s="285">
        <f>G22*'Emission - Values'!C46</f>
        <v>190824.16498834267</v>
      </c>
      <c r="M22" s="91">
        <f t="shared" si="0"/>
        <v>792307.37030790676</v>
      </c>
    </row>
    <row r="23" spans="1:13" x14ac:dyDescent="0.25">
      <c r="A23" s="89">
        <v>2035</v>
      </c>
      <c r="B23" s="89">
        <v>13</v>
      </c>
      <c r="C23" s="270">
        <f t="shared" si="1"/>
        <v>4.8536404923616718</v>
      </c>
      <c r="D23" s="270">
        <f t="shared" si="2"/>
        <v>6.3972767220944693</v>
      </c>
      <c r="E23" s="270">
        <f t="shared" si="3"/>
        <v>0.92912165877721209</v>
      </c>
      <c r="F23" s="270">
        <f t="shared" si="4"/>
        <v>51.241244085251225</v>
      </c>
      <c r="G23" s="90">
        <f t="shared" si="5"/>
        <v>5030.6098308425562</v>
      </c>
      <c r="H23" s="91">
        <f>C23*'Emission - Values'!$B$4</f>
        <v>9086.0150017010492</v>
      </c>
      <c r="I23" s="91">
        <f>D23*'Emission - Values'!$B$5</f>
        <v>47192.710378890901</v>
      </c>
      <c r="J23" s="91">
        <f>E23*'Emission - Values'!$B$6</f>
        <v>313540.46584929922</v>
      </c>
      <c r="K23" s="91">
        <f>F23*'Emission - Values'!$C$17</f>
        <v>240686.26216946638</v>
      </c>
      <c r="L23" s="285">
        <f>G23*'Emission - Values'!C47</f>
        <v>208977.5691049968</v>
      </c>
      <c r="M23" s="91">
        <f t="shared" si="0"/>
        <v>819483.02250435436</v>
      </c>
    </row>
    <row r="24" spans="1:13" x14ac:dyDescent="0.25">
      <c r="A24" s="89">
        <v>2036</v>
      </c>
      <c r="B24" s="89">
        <v>14</v>
      </c>
      <c r="C24" s="270">
        <f t="shared" si="1"/>
        <v>4.9264450997470961</v>
      </c>
      <c r="D24" s="270">
        <f t="shared" si="2"/>
        <v>6.4932358729258857</v>
      </c>
      <c r="E24" s="270">
        <f t="shared" si="3"/>
        <v>0.94305848365887013</v>
      </c>
      <c r="F24" s="270">
        <f t="shared" si="4"/>
        <v>52.00986274652999</v>
      </c>
      <c r="G24" s="90">
        <f t="shared" si="5"/>
        <v>5106.0689783051939</v>
      </c>
      <c r="H24" s="91">
        <f>C24*'Emission - Values'!$B$4</f>
        <v>9222.3052267265648</v>
      </c>
      <c r="I24" s="91">
        <f>D24*'Emission - Values'!$B$5</f>
        <v>47900.601034574262</v>
      </c>
      <c r="J24" s="91">
        <f>E24*'Emission - Values'!$B$6</f>
        <v>318243.57283703866</v>
      </c>
      <c r="K24" s="91">
        <f>F24*'Emission - Values'!$C$17</f>
        <v>244296.55610200838</v>
      </c>
      <c r="L24" s="285">
        <f>G24*'Emission - Values'!C48</f>
        <v>227632.63990802821</v>
      </c>
      <c r="M24" s="91">
        <f t="shared" si="0"/>
        <v>847295.67510837608</v>
      </c>
    </row>
    <row r="25" spans="1:13" x14ac:dyDescent="0.25">
      <c r="A25" s="89">
        <v>2037</v>
      </c>
      <c r="B25" s="89">
        <v>15</v>
      </c>
      <c r="C25" s="270">
        <f t="shared" si="1"/>
        <v>5.0003417762433022</v>
      </c>
      <c r="D25" s="270">
        <f t="shared" si="2"/>
        <v>6.5906344110197734</v>
      </c>
      <c r="E25" s="270">
        <f t="shared" si="3"/>
        <v>0.95720436091375305</v>
      </c>
      <c r="F25" s="270">
        <f t="shared" si="4"/>
        <v>52.790010687727936</v>
      </c>
      <c r="G25" s="90">
        <f t="shared" si="5"/>
        <v>5182.6600129797716</v>
      </c>
      <c r="H25" s="91">
        <f>C25*'Emission - Values'!$B$4</f>
        <v>9360.6398051274609</v>
      </c>
      <c r="I25" s="91">
        <f>D25*'Emission - Values'!$B$5</f>
        <v>48619.110050092866</v>
      </c>
      <c r="J25" s="91">
        <f>E25*'Emission - Values'!$B$6</f>
        <v>323017.22642959422</v>
      </c>
      <c r="K25" s="91">
        <f>F25*'Emission - Values'!$C$17</f>
        <v>247961.00444353846</v>
      </c>
      <c r="L25" s="285">
        <f>G25*'Emission - Values'!C49</f>
        <v>246800.34288210195</v>
      </c>
      <c r="M25" s="91">
        <f t="shared" si="0"/>
        <v>875758.32361045503</v>
      </c>
    </row>
    <row r="26" spans="1:13" x14ac:dyDescent="0.25">
      <c r="A26" s="89">
        <v>2038</v>
      </c>
      <c r="B26" s="89">
        <v>16</v>
      </c>
      <c r="C26" s="270">
        <f t="shared" si="1"/>
        <v>5.0753469028869516</v>
      </c>
      <c r="D26" s="270">
        <f t="shared" si="2"/>
        <v>6.6894939271850697</v>
      </c>
      <c r="E26" s="270">
        <f t="shared" si="3"/>
        <v>0.97156242632745926</v>
      </c>
      <c r="F26" s="270">
        <f t="shared" si="4"/>
        <v>53.581860848043853</v>
      </c>
      <c r="G26" s="90">
        <f t="shared" si="5"/>
        <v>5260.3999131744677</v>
      </c>
      <c r="H26" s="91">
        <f>C26*'Emission - Values'!$B$4</f>
        <v>9501.0494022043731</v>
      </c>
      <c r="I26" s="91">
        <f>D26*'Emission - Values'!$B$5</f>
        <v>49348.396700844256</v>
      </c>
      <c r="J26" s="91">
        <f>E26*'Emission - Values'!$B$6</f>
        <v>327862.48482603807</v>
      </c>
      <c r="K26" s="91">
        <f>F26*'Emission - Values'!$C$17</f>
        <v>251680.41951019154</v>
      </c>
      <c r="L26" s="285">
        <f>G26*'Emission - Values'!C50</f>
        <v>266491.85960141855</v>
      </c>
      <c r="M26" s="91">
        <f t="shared" si="0"/>
        <v>904884.21004069666</v>
      </c>
    </row>
    <row r="27" spans="1:13" x14ac:dyDescent="0.25">
      <c r="A27" s="89">
        <v>2039</v>
      </c>
      <c r="B27" s="89">
        <v>17</v>
      </c>
      <c r="C27" s="270">
        <f t="shared" si="1"/>
        <v>5.1514771064302556</v>
      </c>
      <c r="D27" s="270">
        <f t="shared" si="2"/>
        <v>6.7898363360928453</v>
      </c>
      <c r="E27" s="270">
        <f t="shared" si="3"/>
        <v>0.98613586272237108</v>
      </c>
      <c r="F27" s="270">
        <f t="shared" si="4"/>
        <v>54.385588760764506</v>
      </c>
      <c r="G27" s="90">
        <f t="shared" si="5"/>
        <v>5339.3059118720839</v>
      </c>
      <c r="H27" s="91">
        <f>C27*'Emission - Values'!$B$4</f>
        <v>9643.565143237438</v>
      </c>
      <c r="I27" s="91">
        <f>D27*'Emission - Values'!$B$5</f>
        <v>50088.62265135692</v>
      </c>
      <c r="J27" s="91">
        <f>E27*'Emission - Values'!$B$6</f>
        <v>332780.42209842865</v>
      </c>
      <c r="K27" s="91">
        <f>F27*'Emission - Values'!$C$17</f>
        <v>255455.62580284438</v>
      </c>
      <c r="L27" s="285">
        <f>G27*'Emission - Values'!C51</f>
        <v>286718.59174516617</v>
      </c>
      <c r="M27" s="91">
        <f t="shared" si="0"/>
        <v>934686.82744103367</v>
      </c>
    </row>
    <row r="28" spans="1:13" x14ac:dyDescent="0.25">
      <c r="A28" s="89">
        <v>2040</v>
      </c>
      <c r="B28" s="89">
        <v>18</v>
      </c>
      <c r="C28" s="270">
        <f t="shared" si="1"/>
        <v>5.2287492630267085</v>
      </c>
      <c r="D28" s="270">
        <f t="shared" si="2"/>
        <v>6.8916838811342371</v>
      </c>
      <c r="E28" s="270">
        <f t="shared" si="3"/>
        <v>1.0009279006632066</v>
      </c>
      <c r="F28" s="270">
        <f t="shared" si="4"/>
        <v>55.201372592175971</v>
      </c>
      <c r="G28" s="90">
        <f t="shared" si="5"/>
        <v>5419.3955005501648</v>
      </c>
      <c r="H28" s="91">
        <f>C28*'Emission - Values'!$B$4</f>
        <v>9788.2186203859983</v>
      </c>
      <c r="I28" s="91">
        <f>D28*'Emission - Values'!$B$5</f>
        <v>50839.951991127266</v>
      </c>
      <c r="J28" s="91">
        <f>E28*'Emission - Values'!$B$6</f>
        <v>337772.12842990505</v>
      </c>
      <c r="K28" s="91">
        <f>F28*'Emission - Values'!$C$17</f>
        <v>259287.46018988706</v>
      </c>
      <c r="L28" s="285">
        <f>G28*'Emission - Values'!C52</f>
        <v>307492.16518481594</v>
      </c>
      <c r="M28" s="91">
        <f t="shared" si="0"/>
        <v>965179.92441612133</v>
      </c>
    </row>
    <row r="29" spans="1:13" x14ac:dyDescent="0.25">
      <c r="A29" s="89">
        <v>2041</v>
      </c>
      <c r="B29" s="89">
        <v>19</v>
      </c>
      <c r="C29" s="270">
        <f t="shared" si="1"/>
        <v>5.307180501972109</v>
      </c>
      <c r="D29" s="270">
        <f t="shared" si="2"/>
        <v>6.99505913935125</v>
      </c>
      <c r="E29" s="270">
        <f t="shared" si="3"/>
        <v>1.0159418191731546</v>
      </c>
      <c r="F29" s="270">
        <f t="shared" si="4"/>
        <v>56.029393181058609</v>
      </c>
      <c r="G29" s="90">
        <f t="shared" si="5"/>
        <v>5500.6864330584167</v>
      </c>
      <c r="H29" s="91">
        <f>C29*'Emission - Values'!$B$4</f>
        <v>9935.0418996917888</v>
      </c>
      <c r="I29" s="91">
        <f>D29*'Emission - Values'!$B$5</f>
        <v>51602.551270994169</v>
      </c>
      <c r="J29" s="91">
        <f>E29*'Emission - Values'!$B$6</f>
        <v>342838.71035635361</v>
      </c>
      <c r="K29" s="91">
        <f>F29*'Emission - Values'!$C$17</f>
        <v>263176.77209273534</v>
      </c>
      <c r="L29" s="285">
        <f>G29*'Emission - Values'!C53</f>
        <v>326037.78639752511</v>
      </c>
      <c r="M29" s="91">
        <f t="shared" si="0"/>
        <v>993590.86201729998</v>
      </c>
    </row>
    <row r="30" spans="1:13" x14ac:dyDescent="0.25">
      <c r="A30" s="89">
        <v>2042</v>
      </c>
      <c r="B30" s="89">
        <v>20</v>
      </c>
      <c r="C30" s="270">
        <f t="shared" si="1"/>
        <v>5.3867882095016899</v>
      </c>
      <c r="D30" s="270">
        <f t="shared" si="2"/>
        <v>7.0999850264415185</v>
      </c>
      <c r="E30" s="270">
        <f t="shared" si="3"/>
        <v>1.0311809464607518</v>
      </c>
      <c r="F30" s="270">
        <f t="shared" si="4"/>
        <v>56.869834078774481</v>
      </c>
      <c r="G30" s="90">
        <f t="shared" si="5"/>
        <v>5583.1967295542927</v>
      </c>
      <c r="H30" s="91">
        <f>C30*'Emission - Values'!$B$4</f>
        <v>10084.067528187163</v>
      </c>
      <c r="I30" s="91">
        <f>D30*'Emission - Values'!$B$5</f>
        <v>52376.589540059082</v>
      </c>
      <c r="J30" s="91">
        <f>E30*'Emission - Values'!$B$6</f>
        <v>347981.29101169884</v>
      </c>
      <c r="K30" s="91">
        <f>F30*'Emission - Values'!$C$17</f>
        <v>267124.42367412633</v>
      </c>
      <c r="L30" s="285">
        <f>G30*'Emission - Values'!C54</f>
        <v>345070.59050944902</v>
      </c>
      <c r="M30" s="91">
        <f t="shared" si="0"/>
        <v>1022636.9622635205</v>
      </c>
    </row>
    <row r="31" spans="1:13" x14ac:dyDescent="0.25">
      <c r="A31" s="93"/>
      <c r="B31" s="93"/>
      <c r="C31" s="93"/>
      <c r="D31" s="93"/>
      <c r="E31" s="93"/>
      <c r="F31" s="93"/>
      <c r="G31" s="94" t="s">
        <v>42</v>
      </c>
      <c r="H31" s="95">
        <f>AVERAGE(H11:H30)</f>
        <v>8786.3329284478423</v>
      </c>
      <c r="I31" s="95">
        <f t="shared" ref="I31:M31" si="6">AVERAGE(I11:I30)</f>
        <v>45636.163390344613</v>
      </c>
      <c r="J31" s="95">
        <f t="shared" si="6"/>
        <v>303199.02828432678</v>
      </c>
      <c r="K31" s="95">
        <f t="shared" si="6"/>
        <v>232747.75909226402</v>
      </c>
      <c r="L31" s="95">
        <f t="shared" si="6"/>
        <v>185844.4615657549</v>
      </c>
      <c r="M31" s="95">
        <f t="shared" si="6"/>
        <v>776213.74526113807</v>
      </c>
    </row>
    <row r="32" spans="1:13" x14ac:dyDescent="0.25">
      <c r="A32" s="93"/>
      <c r="B32" s="93"/>
      <c r="C32" s="93"/>
      <c r="D32" s="93"/>
      <c r="E32" s="93"/>
      <c r="F32" s="93"/>
      <c r="G32" s="94" t="s">
        <v>43</v>
      </c>
      <c r="H32" s="95">
        <f>SUM(H4:H30)</f>
        <v>175726.65856895686</v>
      </c>
      <c r="I32" s="95">
        <f t="shared" ref="I32:L32" si="7">SUM(I4:I30)</f>
        <v>912723.26780689228</v>
      </c>
      <c r="J32" s="95">
        <f t="shared" si="7"/>
        <v>6063980.565686536</v>
      </c>
      <c r="K32" s="95">
        <f t="shared" si="7"/>
        <v>4654955.1818452803</v>
      </c>
      <c r="L32" s="95">
        <f t="shared" si="7"/>
        <v>3716889.2313150982</v>
      </c>
      <c r="M32" s="95">
        <f t="shared" ref="M32" si="8">SUM(M4:M30)</f>
        <v>15524274.905222762</v>
      </c>
    </row>
    <row r="34" spans="1:1" x14ac:dyDescent="0.25">
      <c r="A34" s="21" t="s">
        <v>38</v>
      </c>
    </row>
    <row r="35" spans="1:1" x14ac:dyDescent="0.25">
      <c r="A35" s="2" t="s">
        <v>481</v>
      </c>
    </row>
    <row r="36" spans="1:1" x14ac:dyDescent="0.25">
      <c r="A36" s="2" t="s">
        <v>66</v>
      </c>
    </row>
    <row r="37" spans="1:1" x14ac:dyDescent="0.25">
      <c r="A37" s="2" t="s">
        <v>263</v>
      </c>
    </row>
    <row r="38" spans="1:1" x14ac:dyDescent="0.25">
      <c r="A38" s="2" t="s">
        <v>118</v>
      </c>
    </row>
  </sheetData>
  <mergeCells count="1">
    <mergeCell ref="A1:M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59999389629810485"/>
  </sheetPr>
  <dimension ref="A1:CH128"/>
  <sheetViews>
    <sheetView zoomScale="80" zoomScaleNormal="80" workbookViewId="0">
      <selection activeCell="F49" sqref="F49"/>
    </sheetView>
  </sheetViews>
  <sheetFormatPr defaultRowHeight="15" x14ac:dyDescent="0.25"/>
  <cols>
    <col min="3" max="3" width="16.7109375" style="22" bestFit="1" customWidth="1"/>
    <col min="4" max="4" width="11.85546875" style="22" customWidth="1"/>
    <col min="5" max="5" width="20.140625" bestFit="1" customWidth="1"/>
    <col min="10" max="10" width="18.42578125" customWidth="1"/>
    <col min="15" max="15" width="19.28515625" customWidth="1"/>
    <col min="20" max="20" width="19.28515625" customWidth="1"/>
    <col min="25" max="25" width="18" customWidth="1"/>
    <col min="30" max="30" width="18.42578125" customWidth="1"/>
    <col min="35" max="38" width="16.28515625" customWidth="1"/>
  </cols>
  <sheetData>
    <row r="1" spans="1:86" s="64" customFormat="1" ht="18" x14ac:dyDescent="0.35">
      <c r="A1" s="478" t="s">
        <v>238</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row>
    <row r="2" spans="1:86" ht="15.75" thickBot="1" x14ac:dyDescent="0.3">
      <c r="A2" s="5"/>
    </row>
    <row r="3" spans="1:86" x14ac:dyDescent="0.25">
      <c r="A3" s="525" t="s">
        <v>289</v>
      </c>
      <c r="B3" s="527" t="s">
        <v>25</v>
      </c>
      <c r="C3" s="527" t="s">
        <v>45</v>
      </c>
      <c r="D3" s="528" t="s">
        <v>46</v>
      </c>
      <c r="E3" s="532" t="s">
        <v>53</v>
      </c>
      <c r="F3" s="533"/>
      <c r="G3" s="533"/>
      <c r="H3" s="533"/>
      <c r="I3" s="533"/>
      <c r="J3" s="533" t="s">
        <v>54</v>
      </c>
      <c r="K3" s="533"/>
      <c r="L3" s="533"/>
      <c r="M3" s="533"/>
      <c r="N3" s="537"/>
      <c r="O3" s="539" t="s">
        <v>50</v>
      </c>
      <c r="P3" s="540"/>
      <c r="Q3" s="540"/>
      <c r="R3" s="540"/>
      <c r="S3" s="540"/>
      <c r="T3" s="540" t="s">
        <v>51</v>
      </c>
      <c r="U3" s="540"/>
      <c r="V3" s="540"/>
      <c r="W3" s="540"/>
      <c r="X3" s="543"/>
      <c r="Y3" s="546" t="s">
        <v>52</v>
      </c>
      <c r="Z3" s="547"/>
      <c r="AA3" s="547"/>
      <c r="AB3" s="547"/>
      <c r="AC3" s="547"/>
      <c r="AD3" s="547" t="s">
        <v>55</v>
      </c>
      <c r="AE3" s="547"/>
      <c r="AF3" s="547"/>
      <c r="AG3" s="547"/>
      <c r="AH3" s="553"/>
      <c r="AI3" s="556" t="s">
        <v>242</v>
      </c>
      <c r="AJ3" s="549" t="s">
        <v>243</v>
      </c>
      <c r="AK3" s="549" t="s">
        <v>62</v>
      </c>
      <c r="AL3" s="551" t="s">
        <v>244</v>
      </c>
    </row>
    <row r="4" spans="1:86" ht="15" customHeight="1" x14ac:dyDescent="0.25">
      <c r="A4" s="526"/>
      <c r="B4" s="488"/>
      <c r="C4" s="488"/>
      <c r="D4" s="529"/>
      <c r="E4" s="534" t="s">
        <v>47</v>
      </c>
      <c r="F4" s="531" t="s">
        <v>56</v>
      </c>
      <c r="G4" s="531"/>
      <c r="H4" s="531"/>
      <c r="I4" s="531"/>
      <c r="J4" s="535" t="s">
        <v>47</v>
      </c>
      <c r="K4" s="531" t="s">
        <v>56</v>
      </c>
      <c r="L4" s="531"/>
      <c r="M4" s="531"/>
      <c r="N4" s="536"/>
      <c r="O4" s="538" t="s">
        <v>47</v>
      </c>
      <c r="P4" s="541" t="s">
        <v>56</v>
      </c>
      <c r="Q4" s="541"/>
      <c r="R4" s="541"/>
      <c r="S4" s="541"/>
      <c r="T4" s="542" t="s">
        <v>47</v>
      </c>
      <c r="U4" s="541" t="s">
        <v>56</v>
      </c>
      <c r="V4" s="541"/>
      <c r="W4" s="541"/>
      <c r="X4" s="544"/>
      <c r="Y4" s="545" t="s">
        <v>47</v>
      </c>
      <c r="Z4" s="548" t="s">
        <v>56</v>
      </c>
      <c r="AA4" s="548"/>
      <c r="AB4" s="548"/>
      <c r="AC4" s="548"/>
      <c r="AD4" s="555" t="s">
        <v>47</v>
      </c>
      <c r="AE4" s="548" t="s">
        <v>56</v>
      </c>
      <c r="AF4" s="548"/>
      <c r="AG4" s="548"/>
      <c r="AH4" s="554"/>
      <c r="AI4" s="557"/>
      <c r="AJ4" s="550"/>
      <c r="AK4" s="550"/>
      <c r="AL4" s="552"/>
    </row>
    <row r="5" spans="1:86" s="30" customFormat="1" ht="15" customHeight="1" x14ac:dyDescent="0.25">
      <c r="A5" s="526"/>
      <c r="B5" s="489"/>
      <c r="C5" s="489"/>
      <c r="D5" s="530"/>
      <c r="E5" s="534"/>
      <c r="F5" s="238" t="s">
        <v>48</v>
      </c>
      <c r="G5" s="238" t="s">
        <v>14</v>
      </c>
      <c r="H5" s="238" t="s">
        <v>49</v>
      </c>
      <c r="I5" s="238" t="s">
        <v>15</v>
      </c>
      <c r="J5" s="535"/>
      <c r="K5" s="238" t="s">
        <v>48</v>
      </c>
      <c r="L5" s="238" t="s">
        <v>14</v>
      </c>
      <c r="M5" s="238" t="s">
        <v>49</v>
      </c>
      <c r="N5" s="249" t="s">
        <v>15</v>
      </c>
      <c r="O5" s="538"/>
      <c r="P5" s="240" t="s">
        <v>48</v>
      </c>
      <c r="Q5" s="240" t="s">
        <v>14</v>
      </c>
      <c r="R5" s="240" t="s">
        <v>49</v>
      </c>
      <c r="S5" s="240" t="s">
        <v>15</v>
      </c>
      <c r="T5" s="542"/>
      <c r="U5" s="240" t="s">
        <v>48</v>
      </c>
      <c r="V5" s="240" t="s">
        <v>14</v>
      </c>
      <c r="W5" s="240" t="s">
        <v>49</v>
      </c>
      <c r="X5" s="248" t="s">
        <v>15</v>
      </c>
      <c r="Y5" s="545"/>
      <c r="Z5" s="239" t="s">
        <v>48</v>
      </c>
      <c r="AA5" s="239" t="s">
        <v>14</v>
      </c>
      <c r="AB5" s="239" t="s">
        <v>49</v>
      </c>
      <c r="AC5" s="239" t="s">
        <v>15</v>
      </c>
      <c r="AD5" s="555"/>
      <c r="AE5" s="239" t="s">
        <v>48</v>
      </c>
      <c r="AF5" s="239" t="s">
        <v>14</v>
      </c>
      <c r="AG5" s="239" t="s">
        <v>49</v>
      </c>
      <c r="AH5" s="241" t="s">
        <v>15</v>
      </c>
      <c r="AI5" s="557"/>
      <c r="AJ5" s="550"/>
      <c r="AK5" s="550"/>
      <c r="AL5" s="552"/>
    </row>
    <row r="6" spans="1:86" x14ac:dyDescent="0.25">
      <c r="A6" s="254">
        <v>9</v>
      </c>
      <c r="B6" s="23" t="s">
        <v>26</v>
      </c>
      <c r="C6" s="24">
        <v>48682</v>
      </c>
      <c r="D6" s="255">
        <v>0.1</v>
      </c>
      <c r="E6" s="250">
        <v>49</v>
      </c>
      <c r="F6" s="27">
        <v>8.0699999999999994E-2</v>
      </c>
      <c r="G6" s="27">
        <v>0.34370000000000001</v>
      </c>
      <c r="H6" s="27">
        <v>2.0550000000000002</v>
      </c>
      <c r="I6" s="27">
        <v>1.5599999999999999E-2</v>
      </c>
      <c r="J6" s="26">
        <v>36</v>
      </c>
      <c r="K6" s="27">
        <v>0.1021</v>
      </c>
      <c r="L6" s="27">
        <v>0.3503</v>
      </c>
      <c r="M6" s="27">
        <v>2.3176999999999999</v>
      </c>
      <c r="N6" s="243">
        <v>2.06E-2</v>
      </c>
      <c r="O6" s="242">
        <v>49</v>
      </c>
      <c r="P6" s="27">
        <v>8.0699999999999994E-2</v>
      </c>
      <c r="Q6" s="27">
        <v>0.34370000000000001</v>
      </c>
      <c r="R6" s="27">
        <v>2.0550000000000002</v>
      </c>
      <c r="S6" s="27">
        <v>1.5599999999999999E-2</v>
      </c>
      <c r="T6" s="28">
        <v>42</v>
      </c>
      <c r="U6" s="27">
        <v>9.0200000000000002E-2</v>
      </c>
      <c r="V6" s="27">
        <v>0.34470000000000001</v>
      </c>
      <c r="W6" s="27">
        <v>2.141</v>
      </c>
      <c r="X6" s="243">
        <v>1.7899999999999999E-2</v>
      </c>
      <c r="Y6" s="242">
        <v>31</v>
      </c>
      <c r="Z6" s="27">
        <v>0.1162</v>
      </c>
      <c r="AA6" s="27">
        <v>0.36990000000000001</v>
      </c>
      <c r="AB6" s="27">
        <v>2.5223</v>
      </c>
      <c r="AC6" s="27">
        <v>2.4199999999999999E-2</v>
      </c>
      <c r="AD6" s="28">
        <v>32</v>
      </c>
      <c r="AE6" s="29">
        <v>0.1132</v>
      </c>
      <c r="AF6" s="29">
        <v>0.36530000000000001</v>
      </c>
      <c r="AG6" s="29">
        <v>2.4796999999999998</v>
      </c>
      <c r="AH6" s="209">
        <v>2.3400000000000001E-2</v>
      </c>
      <c r="AI6" s="261">
        <f>(((C6*D6*0.15*(F6-K6))+(C6*D6*0.65*(P6-U6))+(C6*D6*0.2*(Z6-AE6)))/1101500)*365</f>
        <v>-1.4171588747162969E-2</v>
      </c>
      <c r="AJ6" s="262">
        <f>(((C6*D6*0.15)*(G6-L6)+(C6*D6*0.65)*(Q6-V6)+(C6*D6*0.2)*(AA6-AF6))/1101500)*365</f>
        <v>-1.1614734089877457E-3</v>
      </c>
      <c r="AK6" s="262">
        <f>(((C6*D6*0.15)*(H6-M6)+(C6*D6*0.65)*(R6-W6)+(C6*D6*0.2)*(AB6-AG6))/1000000)*365</f>
        <v>-0.15420765900499966</v>
      </c>
      <c r="AL6" s="263">
        <f>(((C6*D6*0.15)*(I6-N6)+(C6*D6*0.65)*(S6-X6)+(C6*D6*0.2)*(AC6-AH6))/1101500)*365</f>
        <v>-3.3634334135270094E-3</v>
      </c>
    </row>
    <row r="7" spans="1:86" x14ac:dyDescent="0.25">
      <c r="A7" s="254">
        <v>9</v>
      </c>
      <c r="B7" s="23" t="s">
        <v>27</v>
      </c>
      <c r="C7" s="24">
        <v>1534</v>
      </c>
      <c r="D7" s="255">
        <v>0.5</v>
      </c>
      <c r="E7" s="250">
        <v>47</v>
      </c>
      <c r="F7" s="27">
        <v>8.3000000000000004E-2</v>
      </c>
      <c r="G7" s="27">
        <v>0.34339999999999998</v>
      </c>
      <c r="H7" s="27">
        <v>2.0674999999999999</v>
      </c>
      <c r="I7" s="27">
        <v>1.6199999999999999E-2</v>
      </c>
      <c r="J7" s="26">
        <v>43</v>
      </c>
      <c r="K7" s="27">
        <v>8.8599999999999998E-2</v>
      </c>
      <c r="L7" s="27">
        <v>0.34420000000000001</v>
      </c>
      <c r="M7" s="27">
        <v>2.1206</v>
      </c>
      <c r="N7" s="243">
        <v>1.7500000000000002E-2</v>
      </c>
      <c r="O7" s="242">
        <v>48</v>
      </c>
      <c r="P7" s="27">
        <v>8.1900000000000001E-2</v>
      </c>
      <c r="Q7" s="27">
        <v>0.34350000000000003</v>
      </c>
      <c r="R7" s="27">
        <v>2.0611999999999999</v>
      </c>
      <c r="S7" s="27">
        <v>1.5900000000000001E-2</v>
      </c>
      <c r="T7" s="28">
        <v>45</v>
      </c>
      <c r="U7" s="27">
        <v>8.5400000000000004E-2</v>
      </c>
      <c r="V7" s="27">
        <v>0.34310000000000002</v>
      </c>
      <c r="W7" s="27">
        <v>2.0798999999999999</v>
      </c>
      <c r="X7" s="243">
        <v>1.6799999999999999E-2</v>
      </c>
      <c r="Y7" s="242">
        <v>48</v>
      </c>
      <c r="Z7" s="27">
        <v>8.1900000000000001E-2</v>
      </c>
      <c r="AA7" s="27">
        <v>0.34350000000000003</v>
      </c>
      <c r="AB7" s="27">
        <v>2.0611999999999999</v>
      </c>
      <c r="AC7" s="27">
        <v>1.5900000000000001E-2</v>
      </c>
      <c r="AD7" s="28">
        <v>44</v>
      </c>
      <c r="AE7" s="27">
        <v>8.6999999999999994E-2</v>
      </c>
      <c r="AF7" s="27">
        <v>0.34360000000000002</v>
      </c>
      <c r="AG7" s="27">
        <v>2.1002999999999998</v>
      </c>
      <c r="AH7" s="243">
        <v>1.72E-2</v>
      </c>
      <c r="AI7" s="261">
        <f t="shared" ref="AI7:AI70" si="0">(((C7*D7*0.15*(F7-K7))+(C7*D7*0.65*(P7-U7))+(C7*D7*0.2*(Z7-AE7)))/1101500)*365</f>
        <v>-1.0509431911030413E-3</v>
      </c>
      <c r="AJ7" s="262">
        <f t="shared" ref="AJ7:AJ70" si="1">(((C7*D7*0.15)*(G7-L7)+(C7*D7*0.65)*(Q7-V7)+(C7*D7*0.2)*(AA7-AF7))/1101500)*365</f>
        <v>3.0498955969134577E-5</v>
      </c>
      <c r="AK7" s="262">
        <f t="shared" ref="AK7:AK70" si="2">(((C7*D7*0.15)*(H7-M7)+(C7*D7*0.65)*(R7-W7)+(C7*D7*0.2)*(AB7-AG7))/1000000)*365</f>
        <v>-7.8219426999999887E-3</v>
      </c>
      <c r="AL7" s="263">
        <f t="shared" ref="AL7:AL70" si="3">(((C7*D7*0.15)*(I7-N7)+(C7*D7*0.65)*(S7-X7)+(C7*D7*0.2)*(AC7-AH7))/1101500)*365</f>
        <v>-2.6432428506581912E-4</v>
      </c>
    </row>
    <row r="8" spans="1:86" x14ac:dyDescent="0.25">
      <c r="A8" s="256">
        <v>10</v>
      </c>
      <c r="B8" s="16" t="s">
        <v>26</v>
      </c>
      <c r="C8" s="24">
        <v>49976</v>
      </c>
      <c r="D8" s="255">
        <v>0.1</v>
      </c>
      <c r="E8" s="250">
        <v>24</v>
      </c>
      <c r="F8" s="27">
        <v>0.1406</v>
      </c>
      <c r="G8" s="27">
        <v>0.40560000000000002</v>
      </c>
      <c r="H8" s="27">
        <v>2.7639999999999998</v>
      </c>
      <c r="I8" s="27">
        <v>2.98E-2</v>
      </c>
      <c r="J8" s="26">
        <v>27</v>
      </c>
      <c r="K8" s="27">
        <v>0.129</v>
      </c>
      <c r="L8" s="27">
        <v>0.38879999999999998</v>
      </c>
      <c r="M8" s="27">
        <v>2.6278999999999999</v>
      </c>
      <c r="N8" s="243">
        <v>2.7300000000000001E-2</v>
      </c>
      <c r="O8" s="210">
        <v>7</v>
      </c>
      <c r="P8" s="27">
        <v>0.38940000000000002</v>
      </c>
      <c r="Q8" s="27">
        <v>0.73560000000000003</v>
      </c>
      <c r="R8" s="27">
        <v>4.843</v>
      </c>
      <c r="S8" s="27">
        <v>7.1800000000000003E-2</v>
      </c>
      <c r="T8" s="29">
        <v>7</v>
      </c>
      <c r="U8" s="27">
        <v>0.38940000000000002</v>
      </c>
      <c r="V8" s="27">
        <v>0.73560000000000003</v>
      </c>
      <c r="W8" s="27">
        <v>4.843</v>
      </c>
      <c r="X8" s="243">
        <v>7.1800000000000003E-2</v>
      </c>
      <c r="Y8" s="210">
        <v>7</v>
      </c>
      <c r="Z8" s="27">
        <v>0.38940000000000002</v>
      </c>
      <c r="AA8" s="27">
        <v>0.73560000000000003</v>
      </c>
      <c r="AB8" s="27">
        <v>4.843</v>
      </c>
      <c r="AC8" s="27">
        <v>7.1800000000000003E-2</v>
      </c>
      <c r="AD8" s="29">
        <v>6</v>
      </c>
      <c r="AE8" s="29">
        <v>0.43080000000000002</v>
      </c>
      <c r="AF8" s="29">
        <v>0.79149999999999998</v>
      </c>
      <c r="AG8" s="29">
        <v>5.1393000000000004</v>
      </c>
      <c r="AH8" s="209">
        <v>7.8799999999999995E-2</v>
      </c>
      <c r="AI8" s="261">
        <f t="shared" si="0"/>
        <v>-1.0830477494325919E-2</v>
      </c>
      <c r="AJ8" s="262">
        <f t="shared" si="1"/>
        <v>-1.4341274480254174E-2</v>
      </c>
      <c r="AK8" s="262">
        <f t="shared" si="2"/>
        <v>-7.0858096780000199E-2</v>
      </c>
      <c r="AL8" s="263">
        <f t="shared" si="3"/>
        <v>-1.6974372219700387E-3</v>
      </c>
    </row>
    <row r="9" spans="1:86" x14ac:dyDescent="0.25">
      <c r="A9" s="256">
        <v>10</v>
      </c>
      <c r="B9" s="16" t="s">
        <v>27</v>
      </c>
      <c r="C9" s="24">
        <v>50059</v>
      </c>
      <c r="D9" s="255">
        <v>0.1</v>
      </c>
      <c r="E9" s="250">
        <v>11</v>
      </c>
      <c r="F9" s="27">
        <v>0.25159999999999999</v>
      </c>
      <c r="G9" s="27">
        <v>0.55110000000000003</v>
      </c>
      <c r="H9" s="27">
        <v>3.8605999999999998</v>
      </c>
      <c r="I9" s="27">
        <v>4.8800000000000003E-2</v>
      </c>
      <c r="J9" s="26">
        <v>16</v>
      </c>
      <c r="K9" s="27">
        <v>0.18990000000000001</v>
      </c>
      <c r="L9" s="27">
        <v>0.4748</v>
      </c>
      <c r="M9" s="27">
        <v>3.4178999999999999</v>
      </c>
      <c r="N9" s="243">
        <v>3.8600000000000002E-2</v>
      </c>
      <c r="O9" s="210">
        <v>23</v>
      </c>
      <c r="P9" s="27">
        <v>0.1457</v>
      </c>
      <c r="Q9" s="27">
        <v>0.4128</v>
      </c>
      <c r="R9" s="27">
        <v>2.8582000000000001</v>
      </c>
      <c r="S9" s="27">
        <v>3.0800000000000001E-2</v>
      </c>
      <c r="T9" s="29">
        <v>24</v>
      </c>
      <c r="U9" s="27">
        <v>0.1406</v>
      </c>
      <c r="V9" s="27">
        <v>0.40560000000000002</v>
      </c>
      <c r="W9" s="27">
        <v>2.7639999999999998</v>
      </c>
      <c r="X9" s="243">
        <v>2.98E-2</v>
      </c>
      <c r="Y9" s="210">
        <v>13</v>
      </c>
      <c r="Z9" s="27">
        <v>0.22439999999999999</v>
      </c>
      <c r="AA9" s="27">
        <v>0.51800000000000002</v>
      </c>
      <c r="AB9" s="27">
        <v>3.6739000000000002</v>
      </c>
      <c r="AC9" s="27">
        <v>4.4400000000000002E-2</v>
      </c>
      <c r="AD9" s="29">
        <v>15</v>
      </c>
      <c r="AE9" s="29">
        <v>0.19719999999999999</v>
      </c>
      <c r="AF9" s="16">
        <v>0.48480000000000001</v>
      </c>
      <c r="AG9" s="29">
        <v>3.4870999999999999</v>
      </c>
      <c r="AH9" s="209">
        <v>3.9899999999999998E-2</v>
      </c>
      <c r="AI9" s="261">
        <f t="shared" si="0"/>
        <v>2.987474764866091E-2</v>
      </c>
      <c r="AJ9" s="262">
        <f t="shared" si="1"/>
        <v>3.7762278191103039E-2</v>
      </c>
      <c r="AK9" s="262">
        <f t="shared" si="2"/>
        <v>0.30147119173250042</v>
      </c>
      <c r="AL9" s="263">
        <f t="shared" si="3"/>
        <v>5.1090628960508431E-3</v>
      </c>
    </row>
    <row r="10" spans="1:86" x14ac:dyDescent="0.25">
      <c r="A10" s="256">
        <v>13</v>
      </c>
      <c r="B10" s="16" t="s">
        <v>26</v>
      </c>
      <c r="C10" s="24">
        <v>48682</v>
      </c>
      <c r="D10" s="255">
        <v>0.1</v>
      </c>
      <c r="E10" s="250">
        <v>34</v>
      </c>
      <c r="F10" s="27">
        <v>0.10730000000000001</v>
      </c>
      <c r="G10" s="27">
        <v>0.35599999999999998</v>
      </c>
      <c r="H10" s="27">
        <v>2.3944000000000001</v>
      </c>
      <c r="I10" s="27">
        <v>2.18E-2</v>
      </c>
      <c r="J10" s="26">
        <v>28</v>
      </c>
      <c r="K10" s="27">
        <v>0.12570000000000001</v>
      </c>
      <c r="L10" s="27">
        <v>0.3841</v>
      </c>
      <c r="M10" s="27">
        <v>2.6069</v>
      </c>
      <c r="N10" s="243">
        <v>2.6499999999999999E-2</v>
      </c>
      <c r="O10" s="210">
        <v>8</v>
      </c>
      <c r="P10" s="27">
        <v>0.34799999999999998</v>
      </c>
      <c r="Q10" s="27">
        <v>0.67959999999999998</v>
      </c>
      <c r="R10" s="27">
        <v>4.5465999999999998</v>
      </c>
      <c r="S10" s="27">
        <v>6.4899999999999999E-2</v>
      </c>
      <c r="T10" s="29">
        <v>11</v>
      </c>
      <c r="U10" s="29">
        <v>0.25159999999999999</v>
      </c>
      <c r="V10" s="29">
        <v>0.55110000000000003</v>
      </c>
      <c r="W10" s="29">
        <v>3.8605999999999998</v>
      </c>
      <c r="X10" s="209">
        <v>4.8800000000000003E-2</v>
      </c>
      <c r="Y10" s="210">
        <v>7</v>
      </c>
      <c r="Z10" s="27">
        <v>0.38940000000000002</v>
      </c>
      <c r="AA10" s="27">
        <v>0.73560000000000003</v>
      </c>
      <c r="AB10" s="27">
        <v>4.843</v>
      </c>
      <c r="AC10" s="27">
        <v>7.1800000000000003E-2</v>
      </c>
      <c r="AD10" s="29">
        <v>9</v>
      </c>
      <c r="AE10" s="27">
        <v>0.30659999999999998</v>
      </c>
      <c r="AF10" s="27">
        <v>0.62370000000000003</v>
      </c>
      <c r="AG10" s="27">
        <v>4.2503000000000002</v>
      </c>
      <c r="AH10" s="243">
        <v>5.8000000000000003E-2</v>
      </c>
      <c r="AI10" s="261">
        <f t="shared" si="0"/>
        <v>0.12334202340444847</v>
      </c>
      <c r="AJ10" s="262">
        <f t="shared" si="1"/>
        <v>0.16404198744439394</v>
      </c>
      <c r="AK10" s="262">
        <f t="shared" si="2"/>
        <v>0.94631102054499994</v>
      </c>
      <c r="AL10" s="263">
        <f t="shared" si="3"/>
        <v>2.0196732056286876E-2</v>
      </c>
    </row>
    <row r="11" spans="1:86" x14ac:dyDescent="0.25">
      <c r="A11" s="256">
        <v>13</v>
      </c>
      <c r="B11" s="16" t="s">
        <v>27</v>
      </c>
      <c r="C11" s="24">
        <v>1534</v>
      </c>
      <c r="D11" s="255">
        <v>0.1</v>
      </c>
      <c r="E11" s="250">
        <v>37</v>
      </c>
      <c r="F11" s="27">
        <v>0.1</v>
      </c>
      <c r="G11" s="27">
        <v>0.34920000000000001</v>
      </c>
      <c r="H11" s="27">
        <v>2.2837000000000001</v>
      </c>
      <c r="I11" s="27">
        <v>2.01E-2</v>
      </c>
      <c r="J11" s="26">
        <v>8</v>
      </c>
      <c r="K11" s="27">
        <v>0.34799999999999998</v>
      </c>
      <c r="L11" s="27">
        <v>0.67959999999999998</v>
      </c>
      <c r="M11" s="27">
        <v>4.5465999999999998</v>
      </c>
      <c r="N11" s="243">
        <v>6.4899999999999999E-2</v>
      </c>
      <c r="O11" s="210">
        <v>43</v>
      </c>
      <c r="P11" s="27">
        <v>8.8599999999999998E-2</v>
      </c>
      <c r="Q11" s="27">
        <v>0.34420000000000001</v>
      </c>
      <c r="R11" s="27">
        <v>2.1206</v>
      </c>
      <c r="S11" s="27">
        <v>1.7500000000000002E-2</v>
      </c>
      <c r="T11" s="29">
        <v>24</v>
      </c>
      <c r="U11" s="27">
        <v>0.1406</v>
      </c>
      <c r="V11" s="27">
        <v>0.40560000000000002</v>
      </c>
      <c r="W11" s="27">
        <v>2.7639999999999998</v>
      </c>
      <c r="X11" s="243">
        <v>2.98E-2</v>
      </c>
      <c r="Y11" s="210">
        <v>38</v>
      </c>
      <c r="Z11" s="27">
        <v>9.7799999999999998E-2</v>
      </c>
      <c r="AA11" s="27">
        <v>0.34810000000000002</v>
      </c>
      <c r="AB11" s="27">
        <v>2.2496999999999998</v>
      </c>
      <c r="AC11" s="27">
        <v>1.9599999999999999E-2</v>
      </c>
      <c r="AD11" s="29">
        <v>7</v>
      </c>
      <c r="AE11" s="27">
        <v>0.38940000000000002</v>
      </c>
      <c r="AF11" s="27">
        <v>0.73560000000000003</v>
      </c>
      <c r="AG11" s="27">
        <v>4.843</v>
      </c>
      <c r="AH11" s="243">
        <v>7.1800000000000003E-2</v>
      </c>
      <c r="AI11" s="261">
        <f t="shared" si="0"/>
        <v>-6.5735416432137995E-3</v>
      </c>
      <c r="AJ11" s="262">
        <f t="shared" si="1"/>
        <v>-8.4873511302768975E-3</v>
      </c>
      <c r="AK11" s="262">
        <f t="shared" si="2"/>
        <v>-7.1461593254999997E-2</v>
      </c>
      <c r="AL11" s="263">
        <f t="shared" si="3"/>
        <v>-1.278668729005901E-3</v>
      </c>
    </row>
    <row r="12" spans="1:86" x14ac:dyDescent="0.25">
      <c r="A12" s="256">
        <v>14</v>
      </c>
      <c r="B12" s="16" t="s">
        <v>26</v>
      </c>
      <c r="C12" s="24">
        <v>48682</v>
      </c>
      <c r="D12" s="255">
        <v>0.4</v>
      </c>
      <c r="E12" s="250">
        <v>50</v>
      </c>
      <c r="F12" s="27">
        <v>7.9500000000000001E-2</v>
      </c>
      <c r="G12" s="27">
        <v>0.34379999999999999</v>
      </c>
      <c r="H12" s="27">
        <v>2.0488</v>
      </c>
      <c r="I12" s="27">
        <v>1.52E-2</v>
      </c>
      <c r="J12" s="26">
        <v>39</v>
      </c>
      <c r="K12" s="27">
        <v>9.5600000000000004E-2</v>
      </c>
      <c r="L12" s="27">
        <v>0.34699999999999998</v>
      </c>
      <c r="M12" s="27">
        <v>2.2157</v>
      </c>
      <c r="N12" s="243">
        <v>1.9099999999999999E-2</v>
      </c>
      <c r="O12" s="210">
        <v>10</v>
      </c>
      <c r="P12" s="27">
        <v>0.2651</v>
      </c>
      <c r="Q12" s="27">
        <v>0.56769999999999998</v>
      </c>
      <c r="R12" s="27">
        <v>3.6539999999999999</v>
      </c>
      <c r="S12" s="27">
        <v>5.11E-2</v>
      </c>
      <c r="T12" s="29">
        <v>11</v>
      </c>
      <c r="U12" s="29">
        <v>0.25159999999999999</v>
      </c>
      <c r="V12" s="29">
        <v>0.55110000000000003</v>
      </c>
      <c r="W12" s="29">
        <v>3.8605999999999998</v>
      </c>
      <c r="X12" s="209">
        <v>4.8800000000000003E-2</v>
      </c>
      <c r="Y12" s="210">
        <v>5</v>
      </c>
      <c r="Z12" s="29">
        <v>0.4723</v>
      </c>
      <c r="AA12" s="29">
        <v>0.84740000000000004</v>
      </c>
      <c r="AB12" s="29">
        <v>5.4356</v>
      </c>
      <c r="AC12" s="29">
        <v>8.5699999999999998E-2</v>
      </c>
      <c r="AD12" s="29">
        <v>5</v>
      </c>
      <c r="AE12" s="29">
        <v>0.4723</v>
      </c>
      <c r="AF12" s="29">
        <v>0.84740000000000004</v>
      </c>
      <c r="AG12" s="29">
        <v>5.4356</v>
      </c>
      <c r="AH12" s="209">
        <v>8.5699999999999998E-2</v>
      </c>
      <c r="AI12" s="261">
        <f t="shared" si="0"/>
        <v>4.1038727117566995E-2</v>
      </c>
      <c r="AJ12" s="262">
        <f t="shared" si="1"/>
        <v>6.652661581479781E-2</v>
      </c>
      <c r="AK12" s="262">
        <f t="shared" si="2"/>
        <v>-1.1324139088999996</v>
      </c>
      <c r="AL12" s="263">
        <f t="shared" si="3"/>
        <v>5.8718933454380258E-3</v>
      </c>
    </row>
    <row r="13" spans="1:86" x14ac:dyDescent="0.25">
      <c r="A13" s="256">
        <v>14</v>
      </c>
      <c r="B13" s="16" t="s">
        <v>27</v>
      </c>
      <c r="C13" s="24">
        <v>1534</v>
      </c>
      <c r="D13" s="255">
        <v>0.1</v>
      </c>
      <c r="E13" s="250">
        <v>42</v>
      </c>
      <c r="F13" s="27">
        <v>9.0200000000000002E-2</v>
      </c>
      <c r="G13" s="27">
        <v>0.34470000000000001</v>
      </c>
      <c r="H13" s="27">
        <v>2.141</v>
      </c>
      <c r="I13" s="27">
        <v>1.7899999999999999E-2</v>
      </c>
      <c r="J13" s="26">
        <v>9</v>
      </c>
      <c r="K13" s="27">
        <v>0.30659999999999998</v>
      </c>
      <c r="L13" s="27">
        <v>0.62370000000000003</v>
      </c>
      <c r="M13" s="27">
        <v>4.2503000000000002</v>
      </c>
      <c r="N13" s="243">
        <v>5.8000000000000003E-2</v>
      </c>
      <c r="O13" s="210">
        <v>44</v>
      </c>
      <c r="P13" s="27">
        <v>8.6999999999999994E-2</v>
      </c>
      <c r="Q13" s="27">
        <v>0.34360000000000002</v>
      </c>
      <c r="R13" s="27">
        <v>2.1002999999999998</v>
      </c>
      <c r="S13" s="27">
        <v>1.72E-2</v>
      </c>
      <c r="T13" s="29">
        <v>27</v>
      </c>
      <c r="U13" s="27">
        <v>0.129</v>
      </c>
      <c r="V13" s="27">
        <v>0.38879999999999998</v>
      </c>
      <c r="W13" s="27">
        <v>2.6278999999999999</v>
      </c>
      <c r="X13" s="243">
        <v>2.7300000000000001E-2</v>
      </c>
      <c r="Y13" s="210">
        <v>43</v>
      </c>
      <c r="Z13" s="27">
        <v>8.8599999999999998E-2</v>
      </c>
      <c r="AA13" s="27">
        <v>0.34420000000000001</v>
      </c>
      <c r="AB13" s="27">
        <v>2.1206</v>
      </c>
      <c r="AC13" s="27">
        <v>1.7500000000000002E-2</v>
      </c>
      <c r="AD13" s="29">
        <v>11</v>
      </c>
      <c r="AE13" s="29">
        <v>0.25159999999999999</v>
      </c>
      <c r="AF13" s="29">
        <v>0.55110000000000003</v>
      </c>
      <c r="AG13" s="29">
        <v>3.8605999999999998</v>
      </c>
      <c r="AH13" s="209">
        <v>4.8800000000000003E-2</v>
      </c>
      <c r="AI13" s="261">
        <f t="shared" si="0"/>
        <v>-4.6948059555152076E-3</v>
      </c>
      <c r="AJ13" s="262">
        <f t="shared" si="1"/>
        <v>-5.7241457194734452E-3</v>
      </c>
      <c r="AK13" s="262">
        <f t="shared" si="2"/>
        <v>-5.6401693985000001E-2</v>
      </c>
      <c r="AL13" s="263">
        <f t="shared" si="3"/>
        <v>-9.5766721743077634E-4</v>
      </c>
    </row>
    <row r="14" spans="1:86" x14ac:dyDescent="0.25">
      <c r="A14" s="256">
        <v>22</v>
      </c>
      <c r="B14" s="16" t="s">
        <v>26</v>
      </c>
      <c r="C14" s="24">
        <v>48682</v>
      </c>
      <c r="D14" s="255">
        <v>0.01</v>
      </c>
      <c r="E14" s="250">
        <v>37</v>
      </c>
      <c r="F14" s="27">
        <v>0.1</v>
      </c>
      <c r="G14" s="27">
        <v>0.34920000000000001</v>
      </c>
      <c r="H14" s="27">
        <v>2.2837000000000001</v>
      </c>
      <c r="I14" s="27">
        <v>2.01E-2</v>
      </c>
      <c r="J14" s="26">
        <v>37</v>
      </c>
      <c r="K14" s="27">
        <v>0.1</v>
      </c>
      <c r="L14" s="27">
        <v>0.34920000000000001</v>
      </c>
      <c r="M14" s="27">
        <v>2.2837000000000001</v>
      </c>
      <c r="N14" s="243">
        <v>2.01E-2</v>
      </c>
      <c r="O14" s="210">
        <v>44</v>
      </c>
      <c r="P14" s="27">
        <v>8.6999999999999994E-2</v>
      </c>
      <c r="Q14" s="27">
        <v>0.34360000000000002</v>
      </c>
      <c r="R14" s="27">
        <v>2.1002999999999998</v>
      </c>
      <c r="S14" s="27">
        <v>1.72E-2</v>
      </c>
      <c r="T14" s="29">
        <v>44</v>
      </c>
      <c r="U14" s="27">
        <v>8.6999999999999994E-2</v>
      </c>
      <c r="V14" s="27">
        <v>0.34360000000000002</v>
      </c>
      <c r="W14" s="27">
        <v>2.1002999999999998</v>
      </c>
      <c r="X14" s="243">
        <v>1.72E-2</v>
      </c>
      <c r="Y14" s="210">
        <v>34</v>
      </c>
      <c r="Z14" s="27">
        <v>0.10730000000000001</v>
      </c>
      <c r="AA14" s="27">
        <v>0.35599999999999998</v>
      </c>
      <c r="AB14" s="27">
        <v>2.3944000000000001</v>
      </c>
      <c r="AC14" s="27">
        <v>2.18E-2</v>
      </c>
      <c r="AD14" s="29">
        <v>20</v>
      </c>
      <c r="AE14" s="29">
        <v>0.161</v>
      </c>
      <c r="AF14" s="27">
        <v>0.43459999999999999</v>
      </c>
      <c r="AG14" s="29">
        <v>3.1408999999999998</v>
      </c>
      <c r="AH14" s="209">
        <v>3.3599999999999998E-2</v>
      </c>
      <c r="AI14" s="261">
        <f t="shared" si="0"/>
        <v>-1.7325311684067183E-3</v>
      </c>
      <c r="AJ14" s="262">
        <f t="shared" si="1"/>
        <v>-2.5358836096232413E-3</v>
      </c>
      <c r="AK14" s="262">
        <f t="shared" si="2"/>
        <v>-2.652901248999999E-2</v>
      </c>
      <c r="AL14" s="263">
        <f t="shared" si="3"/>
        <v>-3.8070517294598268E-4</v>
      </c>
    </row>
    <row r="15" spans="1:86" x14ac:dyDescent="0.25">
      <c r="A15" s="256">
        <v>22</v>
      </c>
      <c r="B15" s="16" t="s">
        <v>27</v>
      </c>
      <c r="C15" s="24">
        <v>1534</v>
      </c>
      <c r="D15" s="255">
        <v>0.1</v>
      </c>
      <c r="E15" s="250">
        <v>38</v>
      </c>
      <c r="F15" s="27">
        <v>9.7799999999999998E-2</v>
      </c>
      <c r="G15" s="27">
        <v>0.34810000000000002</v>
      </c>
      <c r="H15" s="27">
        <v>2.2496999999999998</v>
      </c>
      <c r="I15" s="27">
        <v>1.9599999999999999E-2</v>
      </c>
      <c r="J15" s="26">
        <v>39</v>
      </c>
      <c r="K15" s="27">
        <v>9.5600000000000004E-2</v>
      </c>
      <c r="L15" s="27">
        <v>0.34699999999999998</v>
      </c>
      <c r="M15" s="27">
        <v>2.2157</v>
      </c>
      <c r="N15" s="243">
        <v>1.9099999999999999E-2</v>
      </c>
      <c r="O15" s="210">
        <v>42</v>
      </c>
      <c r="P15" s="27">
        <v>9.0200000000000002E-2</v>
      </c>
      <c r="Q15" s="27">
        <v>0.34470000000000001</v>
      </c>
      <c r="R15" s="27">
        <v>2.141</v>
      </c>
      <c r="S15" s="27">
        <v>1.7899999999999999E-2</v>
      </c>
      <c r="T15" s="29">
        <v>41</v>
      </c>
      <c r="U15" s="27">
        <v>9.1800000000000007E-2</v>
      </c>
      <c r="V15" s="27">
        <v>0.3453</v>
      </c>
      <c r="W15" s="27">
        <v>2.1613000000000002</v>
      </c>
      <c r="X15" s="243">
        <v>1.83E-2</v>
      </c>
      <c r="Y15" s="210">
        <v>39</v>
      </c>
      <c r="Z15" s="27">
        <v>9.5600000000000004E-2</v>
      </c>
      <c r="AA15" s="27">
        <v>0.34699999999999998</v>
      </c>
      <c r="AB15" s="27">
        <v>2.2157</v>
      </c>
      <c r="AC15" s="27">
        <v>1.9099999999999999E-2</v>
      </c>
      <c r="AD15" s="29">
        <v>40</v>
      </c>
      <c r="AE15" s="27">
        <v>9.3399999999999997E-2</v>
      </c>
      <c r="AF15" s="27">
        <v>0.34589999999999999</v>
      </c>
      <c r="AG15" s="27">
        <v>2.1817000000000002</v>
      </c>
      <c r="AH15" s="243">
        <v>1.8599999999999998E-2</v>
      </c>
      <c r="AI15" s="261">
        <f t="shared" si="0"/>
        <v>-1.372453018610996E-5</v>
      </c>
      <c r="AJ15" s="262">
        <f t="shared" si="1"/>
        <v>-2.541579664088497E-7</v>
      </c>
      <c r="AK15" s="262">
        <f t="shared" si="2"/>
        <v>-7.2508345000011257E-5</v>
      </c>
      <c r="AL15" s="263">
        <f t="shared" si="3"/>
        <v>-4.3206854289605346E-6</v>
      </c>
    </row>
    <row r="16" spans="1:86" x14ac:dyDescent="0.25">
      <c r="A16" s="256">
        <v>23</v>
      </c>
      <c r="B16" s="16" t="s">
        <v>26</v>
      </c>
      <c r="C16" s="24">
        <v>44274</v>
      </c>
      <c r="D16" s="255">
        <v>0.1</v>
      </c>
      <c r="E16" s="250">
        <v>32</v>
      </c>
      <c r="F16" s="27">
        <v>0.1132</v>
      </c>
      <c r="G16" s="27">
        <v>0.36530000000000001</v>
      </c>
      <c r="H16" s="27">
        <v>2.4796999999999998</v>
      </c>
      <c r="I16" s="27">
        <v>2.3400000000000001E-2</v>
      </c>
      <c r="J16" s="26">
        <v>29</v>
      </c>
      <c r="K16" s="27">
        <v>0.12239999999999999</v>
      </c>
      <c r="L16" s="27">
        <v>0.37930000000000003</v>
      </c>
      <c r="M16" s="27">
        <v>2.5859000000000001</v>
      </c>
      <c r="N16" s="243">
        <v>2.58E-2</v>
      </c>
      <c r="O16" s="210">
        <v>30</v>
      </c>
      <c r="P16" s="27">
        <v>0.1192</v>
      </c>
      <c r="Q16" s="27">
        <v>0.3745</v>
      </c>
      <c r="R16" s="27">
        <v>2.5649999999999999</v>
      </c>
      <c r="S16" s="27">
        <v>2.5000000000000001E-2</v>
      </c>
      <c r="T16" s="29">
        <v>31</v>
      </c>
      <c r="U16" s="27">
        <v>0.1162</v>
      </c>
      <c r="V16" s="27">
        <v>0.36990000000000001</v>
      </c>
      <c r="W16" s="27">
        <v>2.5223</v>
      </c>
      <c r="X16" s="243">
        <v>2.4199999999999999E-2</v>
      </c>
      <c r="Y16" s="210">
        <v>26</v>
      </c>
      <c r="Z16" s="27">
        <v>0.13222999999999999</v>
      </c>
      <c r="AA16" s="27">
        <v>0.39360000000000001</v>
      </c>
      <c r="AB16" s="27">
        <v>2.6488</v>
      </c>
      <c r="AC16" s="27">
        <v>2.81E-2</v>
      </c>
      <c r="AD16" s="29">
        <v>22</v>
      </c>
      <c r="AE16" s="27">
        <v>0.15079999999999999</v>
      </c>
      <c r="AF16" s="27">
        <v>0.42009999999999997</v>
      </c>
      <c r="AG16" s="27">
        <v>2.9525000000000001</v>
      </c>
      <c r="AH16" s="243">
        <v>3.1699999999999999E-2</v>
      </c>
      <c r="AI16" s="261">
        <f t="shared" si="0"/>
        <v>-4.6125348561053088E-3</v>
      </c>
      <c r="AJ16" s="262">
        <f t="shared" si="1"/>
        <v>-6.4698723649568761E-3</v>
      </c>
      <c r="AK16" s="262">
        <f t="shared" si="2"/>
        <v>-7.9046688915000149E-2</v>
      </c>
      <c r="AL16" s="263">
        <f t="shared" si="3"/>
        <v>-8.215710939627756E-4</v>
      </c>
    </row>
    <row r="17" spans="1:38" x14ac:dyDescent="0.25">
      <c r="A17" s="256">
        <v>23</v>
      </c>
      <c r="B17" s="16" t="s">
        <v>27</v>
      </c>
      <c r="C17" s="24">
        <v>43958</v>
      </c>
      <c r="D17" s="255">
        <v>0.1</v>
      </c>
      <c r="E17" s="250">
        <v>30</v>
      </c>
      <c r="F17" s="27">
        <v>0.1192</v>
      </c>
      <c r="G17" s="27">
        <v>0.3745</v>
      </c>
      <c r="H17" s="27">
        <v>2.5649999999999999</v>
      </c>
      <c r="I17" s="27">
        <v>2.5000000000000001E-2</v>
      </c>
      <c r="J17" s="26">
        <v>26</v>
      </c>
      <c r="K17" s="27">
        <v>0.13222999999999999</v>
      </c>
      <c r="L17" s="27">
        <v>0.39360000000000001</v>
      </c>
      <c r="M17" s="27">
        <v>2.6488</v>
      </c>
      <c r="N17" s="243">
        <v>2.81E-2</v>
      </c>
      <c r="O17" s="210">
        <v>33</v>
      </c>
      <c r="P17" s="29">
        <v>0.1103</v>
      </c>
      <c r="Q17" s="29">
        <v>0.36059999999999998</v>
      </c>
      <c r="R17" s="29">
        <v>2.4369999999999998</v>
      </c>
      <c r="S17" s="29">
        <v>2.2599999999999999E-2</v>
      </c>
      <c r="T17" s="29">
        <v>32</v>
      </c>
      <c r="U17" s="29">
        <v>0.1132</v>
      </c>
      <c r="V17" s="29">
        <v>0.36530000000000001</v>
      </c>
      <c r="W17" s="29">
        <v>2.4796999999999998</v>
      </c>
      <c r="X17" s="209">
        <v>2.3400000000000001E-2</v>
      </c>
      <c r="Y17" s="210">
        <v>24</v>
      </c>
      <c r="Z17" s="27">
        <v>0.1406</v>
      </c>
      <c r="AA17" s="27">
        <v>0.40560000000000002</v>
      </c>
      <c r="AB17" s="27">
        <v>2.7639999999999998</v>
      </c>
      <c r="AC17" s="27">
        <v>2.98E-2</v>
      </c>
      <c r="AD17" s="29">
        <v>20</v>
      </c>
      <c r="AE17" s="29">
        <v>0.161</v>
      </c>
      <c r="AF17" s="27">
        <v>0.43459999999999999</v>
      </c>
      <c r="AG17" s="29">
        <v>3.1408999999999998</v>
      </c>
      <c r="AH17" s="209">
        <v>3.3599999999999998E-2</v>
      </c>
      <c r="AI17" s="261">
        <f t="shared" si="0"/>
        <v>-1.1535702593281887E-2</v>
      </c>
      <c r="AJ17" s="262">
        <f t="shared" si="1"/>
        <v>-1.7071587144802572E-2</v>
      </c>
      <c r="AK17" s="262">
        <f t="shared" si="2"/>
        <v>-0.18564485423499999</v>
      </c>
      <c r="AL17" s="263">
        <f t="shared" si="3"/>
        <v>-2.5418020108942362E-3</v>
      </c>
    </row>
    <row r="18" spans="1:38" x14ac:dyDescent="0.25">
      <c r="A18" s="256">
        <v>28</v>
      </c>
      <c r="B18" s="16" t="s">
        <v>26</v>
      </c>
      <c r="C18" s="24">
        <v>41699</v>
      </c>
      <c r="D18" s="255">
        <v>0.4</v>
      </c>
      <c r="E18" s="250">
        <v>35</v>
      </c>
      <c r="F18" s="27">
        <v>0.1043</v>
      </c>
      <c r="G18" s="27">
        <v>0.35139999999999999</v>
      </c>
      <c r="H18" s="27">
        <v>2.3517999999999999</v>
      </c>
      <c r="I18" s="27">
        <v>2.1000000000000001E-2</v>
      </c>
      <c r="J18" s="26">
        <v>40</v>
      </c>
      <c r="K18" s="27">
        <v>9.3399999999999997E-2</v>
      </c>
      <c r="L18" s="27">
        <v>0.34589999999999999</v>
      </c>
      <c r="M18" s="27">
        <v>2.1817000000000002</v>
      </c>
      <c r="N18" s="243">
        <v>1.8599999999999998E-2</v>
      </c>
      <c r="O18" s="210">
        <v>39</v>
      </c>
      <c r="P18" s="27">
        <v>9.5600000000000004E-2</v>
      </c>
      <c r="Q18" s="27">
        <v>0.34699999999999998</v>
      </c>
      <c r="R18" s="27">
        <v>2.2157</v>
      </c>
      <c r="S18" s="27">
        <v>1.9099999999999999E-2</v>
      </c>
      <c r="T18" s="29">
        <v>43</v>
      </c>
      <c r="U18" s="27">
        <v>8.8599999999999998E-2</v>
      </c>
      <c r="V18" s="27">
        <v>0.34420000000000001</v>
      </c>
      <c r="W18" s="27">
        <v>2.1206</v>
      </c>
      <c r="X18" s="243">
        <v>1.7500000000000002E-2</v>
      </c>
      <c r="Y18" s="210">
        <v>35</v>
      </c>
      <c r="Z18" s="29">
        <v>0.1043</v>
      </c>
      <c r="AA18" s="29">
        <v>0.35139999999999999</v>
      </c>
      <c r="AB18" s="29">
        <v>2.3517999999999999</v>
      </c>
      <c r="AC18" s="29">
        <v>2.1000000000000001E-2</v>
      </c>
      <c r="AD18" s="29">
        <v>34</v>
      </c>
      <c r="AE18" s="27">
        <v>0.10730000000000001</v>
      </c>
      <c r="AF18" s="27">
        <v>0.35599999999999998</v>
      </c>
      <c r="AG18" s="27">
        <v>2.3944000000000001</v>
      </c>
      <c r="AH18" s="243">
        <v>2.18E-2</v>
      </c>
      <c r="AI18" s="261">
        <f t="shared" si="0"/>
        <v>3.086861696777125E-2</v>
      </c>
      <c r="AJ18" s="262">
        <f t="shared" si="1"/>
        <v>9.5341744439399814E-3</v>
      </c>
      <c r="AK18" s="262">
        <f t="shared" si="2"/>
        <v>0.47979953573999934</v>
      </c>
      <c r="AL18" s="263">
        <f t="shared" si="3"/>
        <v>6.8535514843395314E-3</v>
      </c>
    </row>
    <row r="19" spans="1:38" x14ac:dyDescent="0.25">
      <c r="A19" s="256">
        <v>28</v>
      </c>
      <c r="B19" s="16" t="s">
        <v>27</v>
      </c>
      <c r="C19" s="24">
        <v>43395</v>
      </c>
      <c r="D19" s="255">
        <v>0.2</v>
      </c>
      <c r="E19" s="250">
        <v>30</v>
      </c>
      <c r="F19" s="27">
        <v>0.1192</v>
      </c>
      <c r="G19" s="27">
        <v>0.3745</v>
      </c>
      <c r="H19" s="27">
        <v>2.5649999999999999</v>
      </c>
      <c r="I19" s="27">
        <v>2.5000000000000001E-2</v>
      </c>
      <c r="J19" s="26">
        <v>34</v>
      </c>
      <c r="K19" s="27">
        <v>0.10730000000000001</v>
      </c>
      <c r="L19" s="27">
        <v>0.35599999999999998</v>
      </c>
      <c r="M19" s="27">
        <v>2.3944000000000001</v>
      </c>
      <c r="N19" s="243">
        <v>2.18E-2</v>
      </c>
      <c r="O19" s="210">
        <v>35</v>
      </c>
      <c r="P19" s="27">
        <v>0.1043</v>
      </c>
      <c r="Q19" s="27">
        <v>0.35139999999999999</v>
      </c>
      <c r="R19" s="27">
        <v>2.3517999999999999</v>
      </c>
      <c r="S19" s="27">
        <v>2.1000000000000001E-2</v>
      </c>
      <c r="T19" s="29">
        <v>36</v>
      </c>
      <c r="U19" s="27">
        <v>0.1021</v>
      </c>
      <c r="V19" s="27">
        <v>0.3503</v>
      </c>
      <c r="W19" s="27">
        <v>2.3176999999999999</v>
      </c>
      <c r="X19" s="243">
        <v>2.06E-2</v>
      </c>
      <c r="Y19" s="210">
        <v>30</v>
      </c>
      <c r="Z19" s="29">
        <v>0.1192</v>
      </c>
      <c r="AA19" s="29">
        <v>0.3745</v>
      </c>
      <c r="AB19" s="29">
        <v>2.5649999999999999</v>
      </c>
      <c r="AC19" s="29">
        <v>2.5000000000000001E-2</v>
      </c>
      <c r="AD19" s="29">
        <v>32</v>
      </c>
      <c r="AE19" s="29">
        <v>0.1132</v>
      </c>
      <c r="AF19" s="29">
        <v>0.36530000000000001</v>
      </c>
      <c r="AG19" s="29">
        <v>2.4796999999999998</v>
      </c>
      <c r="AH19" s="209">
        <v>2.3400000000000001E-2</v>
      </c>
      <c r="AI19" s="261">
        <f t="shared" si="0"/>
        <v>1.2697223354516582E-2</v>
      </c>
      <c r="AJ19" s="262">
        <f t="shared" si="1"/>
        <v>1.5328697730367661E-2</v>
      </c>
      <c r="AK19" s="262">
        <f t="shared" si="2"/>
        <v>0.20532322552500007</v>
      </c>
      <c r="AL19" s="263">
        <f t="shared" si="3"/>
        <v>3.0484839763958269E-3</v>
      </c>
    </row>
    <row r="20" spans="1:38" x14ac:dyDescent="0.25">
      <c r="A20" s="256">
        <v>31</v>
      </c>
      <c r="B20" s="16" t="s">
        <v>26</v>
      </c>
      <c r="C20" s="24">
        <v>41767</v>
      </c>
      <c r="D20" s="255">
        <v>0.2</v>
      </c>
      <c r="E20" s="250">
        <v>31</v>
      </c>
      <c r="F20" s="27">
        <v>0.1162</v>
      </c>
      <c r="G20" s="27">
        <v>0.36990000000000001</v>
      </c>
      <c r="H20" s="27">
        <v>2.5223</v>
      </c>
      <c r="I20" s="27">
        <v>2.4199999999999999E-2</v>
      </c>
      <c r="J20" s="26">
        <v>37</v>
      </c>
      <c r="K20" s="27">
        <v>0.1</v>
      </c>
      <c r="L20" s="27">
        <v>0.34920000000000001</v>
      </c>
      <c r="M20" s="27">
        <v>2.2837000000000001</v>
      </c>
      <c r="N20" s="243">
        <v>2.01E-2</v>
      </c>
      <c r="O20" s="210">
        <v>33</v>
      </c>
      <c r="P20" s="29">
        <v>0.1103</v>
      </c>
      <c r="Q20" s="29">
        <v>0.36059999999999998</v>
      </c>
      <c r="R20" s="29">
        <v>2.4369999999999998</v>
      </c>
      <c r="S20" s="29">
        <v>2.2599999999999999E-2</v>
      </c>
      <c r="T20" s="29">
        <v>34</v>
      </c>
      <c r="U20" s="27">
        <v>0.10730000000000001</v>
      </c>
      <c r="V20" s="27">
        <v>0.35599999999999998</v>
      </c>
      <c r="W20" s="27">
        <v>2.3944000000000001</v>
      </c>
      <c r="X20" s="243">
        <v>2.18E-2</v>
      </c>
      <c r="Y20" s="210">
        <v>33</v>
      </c>
      <c r="Z20" s="27">
        <v>0.1103</v>
      </c>
      <c r="AA20" s="27">
        <v>0.36059999999999998</v>
      </c>
      <c r="AB20" s="27">
        <v>2.4369999999999998</v>
      </c>
      <c r="AC20" s="27">
        <v>2.2599999999999999E-2</v>
      </c>
      <c r="AD20" s="29">
        <v>34</v>
      </c>
      <c r="AE20" s="27">
        <v>0.10730000000000001</v>
      </c>
      <c r="AF20" s="27">
        <v>0.35599999999999998</v>
      </c>
      <c r="AG20" s="27">
        <v>2.3944000000000001</v>
      </c>
      <c r="AH20" s="243">
        <v>2.18E-2</v>
      </c>
      <c r="AI20" s="261">
        <f t="shared" si="0"/>
        <v>1.3784816323195613E-2</v>
      </c>
      <c r="AJ20" s="262">
        <f t="shared" si="1"/>
        <v>1.9417768374943242E-2</v>
      </c>
      <c r="AK20" s="262">
        <f t="shared" si="2"/>
        <v>0.21952735199999929</v>
      </c>
      <c r="AL20" s="263">
        <f t="shared" si="3"/>
        <v>3.5846058511121168E-3</v>
      </c>
    </row>
    <row r="21" spans="1:38" x14ac:dyDescent="0.25">
      <c r="A21" s="256">
        <v>31</v>
      </c>
      <c r="B21" s="16" t="s">
        <v>27</v>
      </c>
      <c r="C21" s="24">
        <v>44703</v>
      </c>
      <c r="D21" s="255">
        <v>0.2</v>
      </c>
      <c r="E21" s="250">
        <v>32</v>
      </c>
      <c r="F21" s="27">
        <v>0.1132</v>
      </c>
      <c r="G21" s="27">
        <v>0.36530000000000001</v>
      </c>
      <c r="H21" s="27">
        <v>2.4796999999999998</v>
      </c>
      <c r="I21" s="27">
        <v>2.3400000000000001E-2</v>
      </c>
      <c r="J21" s="26">
        <v>37</v>
      </c>
      <c r="K21" s="27">
        <v>0.1</v>
      </c>
      <c r="L21" s="27">
        <v>0.34920000000000001</v>
      </c>
      <c r="M21" s="27">
        <v>2.2837000000000001</v>
      </c>
      <c r="N21" s="243">
        <v>2.01E-2</v>
      </c>
      <c r="O21" s="210">
        <v>37</v>
      </c>
      <c r="P21" s="27">
        <v>0.1</v>
      </c>
      <c r="Q21" s="27">
        <v>0.34920000000000001</v>
      </c>
      <c r="R21" s="27">
        <v>2.2837000000000001</v>
      </c>
      <c r="S21" s="27">
        <v>2.01E-2</v>
      </c>
      <c r="T21" s="29">
        <v>39</v>
      </c>
      <c r="U21" s="27">
        <v>9.5600000000000004E-2</v>
      </c>
      <c r="V21" s="27">
        <v>0.34699999999999998</v>
      </c>
      <c r="W21" s="27">
        <v>2.2157</v>
      </c>
      <c r="X21" s="243">
        <v>1.9099999999999999E-2</v>
      </c>
      <c r="Y21" s="210">
        <v>26</v>
      </c>
      <c r="Z21" s="27">
        <v>0.13222999999999999</v>
      </c>
      <c r="AA21" s="27">
        <v>0.39360000000000001</v>
      </c>
      <c r="AB21" s="27">
        <v>2.6488</v>
      </c>
      <c r="AC21" s="27">
        <v>2.81E-2</v>
      </c>
      <c r="AD21" s="29">
        <v>32</v>
      </c>
      <c r="AE21" s="29">
        <v>0.1132</v>
      </c>
      <c r="AF21" s="29">
        <v>0.36530000000000001</v>
      </c>
      <c r="AG21" s="29">
        <v>2.4796999999999998</v>
      </c>
      <c r="AH21" s="209">
        <v>2.3400000000000001E-2</v>
      </c>
      <c r="AI21" s="261">
        <f t="shared" si="0"/>
        <v>2.5614758124375841E-2</v>
      </c>
      <c r="AJ21" s="262">
        <f t="shared" si="1"/>
        <v>2.8159643300045455E-2</v>
      </c>
      <c r="AK21" s="262">
        <f t="shared" si="2"/>
        <v>0.35054572698000025</v>
      </c>
      <c r="AL21" s="263">
        <f t="shared" si="3"/>
        <v>6.1770495823876559E-3</v>
      </c>
    </row>
    <row r="22" spans="1:38" x14ac:dyDescent="0.25">
      <c r="A22" s="256">
        <v>34</v>
      </c>
      <c r="B22" s="16" t="s">
        <v>26</v>
      </c>
      <c r="C22" s="24">
        <v>40658</v>
      </c>
      <c r="D22" s="255">
        <v>0.2</v>
      </c>
      <c r="E22" s="250">
        <v>19</v>
      </c>
      <c r="F22" s="27">
        <v>0.16830000000000001</v>
      </c>
      <c r="G22" s="27">
        <v>0.4446</v>
      </c>
      <c r="H22" s="27">
        <v>3.2101999999999999</v>
      </c>
      <c r="I22" s="27">
        <v>3.49E-2</v>
      </c>
      <c r="J22" s="26">
        <v>31</v>
      </c>
      <c r="K22" s="27">
        <v>0.1162</v>
      </c>
      <c r="L22" s="27">
        <v>0.36990000000000001</v>
      </c>
      <c r="M22" s="27">
        <v>2.5223</v>
      </c>
      <c r="N22" s="243">
        <v>2.4199999999999999E-2</v>
      </c>
      <c r="O22" s="210">
        <v>27</v>
      </c>
      <c r="P22" s="27">
        <v>0.129</v>
      </c>
      <c r="Q22" s="27">
        <v>0.38879999999999998</v>
      </c>
      <c r="R22" s="27">
        <v>2.6278999999999999</v>
      </c>
      <c r="S22" s="27">
        <v>2.7300000000000001E-2</v>
      </c>
      <c r="T22" s="29">
        <v>37</v>
      </c>
      <c r="U22" s="27">
        <v>0.1</v>
      </c>
      <c r="V22" s="27">
        <v>0.34920000000000001</v>
      </c>
      <c r="W22" s="27">
        <v>2.2837000000000001</v>
      </c>
      <c r="X22" s="243">
        <v>2.01E-2</v>
      </c>
      <c r="Y22" s="210">
        <v>22</v>
      </c>
      <c r="Z22" s="27">
        <v>0.15079999999999999</v>
      </c>
      <c r="AA22" s="27">
        <v>0.42009999999999997</v>
      </c>
      <c r="AB22" s="27">
        <v>2.9525000000000001</v>
      </c>
      <c r="AC22" s="27">
        <v>3.1699999999999999E-2</v>
      </c>
      <c r="AD22" s="29">
        <v>23</v>
      </c>
      <c r="AE22" s="27">
        <v>0.1457</v>
      </c>
      <c r="AF22" s="27">
        <v>0.4128</v>
      </c>
      <c r="AG22" s="27">
        <v>2.8582000000000001</v>
      </c>
      <c r="AH22" s="243">
        <v>3.0800000000000001E-2</v>
      </c>
      <c r="AI22" s="261">
        <f t="shared" si="0"/>
        <v>7.459829440762597E-2</v>
      </c>
      <c r="AJ22" s="262">
        <f t="shared" si="1"/>
        <v>0.10348374559237397</v>
      </c>
      <c r="AK22" s="262">
        <f t="shared" si="2"/>
        <v>1.0262719563499996</v>
      </c>
      <c r="AL22" s="263">
        <f t="shared" si="3"/>
        <v>1.7420190476622792E-2</v>
      </c>
    </row>
    <row r="23" spans="1:38" x14ac:dyDescent="0.25">
      <c r="A23" s="256">
        <v>34</v>
      </c>
      <c r="B23" s="16" t="s">
        <v>27</v>
      </c>
      <c r="C23" s="25">
        <v>46834</v>
      </c>
      <c r="D23" s="255">
        <v>0.1</v>
      </c>
      <c r="E23" s="250">
        <v>31</v>
      </c>
      <c r="F23" s="27">
        <v>0.1162</v>
      </c>
      <c r="G23" s="27">
        <v>0.36990000000000001</v>
      </c>
      <c r="H23" s="27">
        <v>2.5223</v>
      </c>
      <c r="I23" s="27">
        <v>2.4199999999999999E-2</v>
      </c>
      <c r="J23" s="26">
        <v>33</v>
      </c>
      <c r="K23" s="27">
        <v>0.1103</v>
      </c>
      <c r="L23" s="27">
        <v>0.36059999999999998</v>
      </c>
      <c r="M23" s="27">
        <v>2.4369999999999998</v>
      </c>
      <c r="N23" s="243">
        <v>2.2599999999999999E-2</v>
      </c>
      <c r="O23" s="210">
        <v>40</v>
      </c>
      <c r="P23" s="27">
        <v>9.3399999999999997E-2</v>
      </c>
      <c r="Q23" s="27">
        <v>0.34589999999999999</v>
      </c>
      <c r="R23" s="27">
        <v>2.1817000000000002</v>
      </c>
      <c r="S23" s="27">
        <v>1.8599999999999998E-2</v>
      </c>
      <c r="T23" s="29">
        <v>39</v>
      </c>
      <c r="U23" s="27">
        <v>9.5600000000000004E-2</v>
      </c>
      <c r="V23" s="27">
        <v>0.34699999999999998</v>
      </c>
      <c r="W23" s="27">
        <v>2.2157</v>
      </c>
      <c r="X23" s="243">
        <v>1.9099999999999999E-2</v>
      </c>
      <c r="Y23" s="210">
        <v>38</v>
      </c>
      <c r="Z23" s="27">
        <v>9.7799999999999998E-2</v>
      </c>
      <c r="AA23" s="27">
        <v>0.34810000000000002</v>
      </c>
      <c r="AB23" s="27">
        <v>2.2496999999999998</v>
      </c>
      <c r="AC23" s="27">
        <v>1.9599999999999999E-2</v>
      </c>
      <c r="AD23" s="29">
        <v>36</v>
      </c>
      <c r="AE23" s="27">
        <v>0.1021</v>
      </c>
      <c r="AF23" s="27">
        <v>0.3503</v>
      </c>
      <c r="AG23" s="27">
        <v>2.3176999999999999</v>
      </c>
      <c r="AH23" s="243">
        <v>2.06E-2</v>
      </c>
      <c r="AI23" s="261">
        <f t="shared" si="0"/>
        <v>-2.1804490285973741E-3</v>
      </c>
      <c r="AJ23" s="262">
        <f t="shared" si="1"/>
        <v>3.7246104403089057E-4</v>
      </c>
      <c r="AK23" s="262">
        <f t="shared" si="2"/>
        <v>-3.9154746104999777E-2</v>
      </c>
      <c r="AL23" s="263">
        <f t="shared" si="3"/>
        <v>-4.4229748978665516E-4</v>
      </c>
    </row>
    <row r="24" spans="1:38" x14ac:dyDescent="0.25">
      <c r="A24" s="256">
        <v>35</v>
      </c>
      <c r="B24" s="16" t="s">
        <v>26</v>
      </c>
      <c r="C24" s="24">
        <v>43413</v>
      </c>
      <c r="D24" s="255">
        <v>0.1</v>
      </c>
      <c r="E24" s="250">
        <v>23</v>
      </c>
      <c r="F24" s="27">
        <v>0.1457</v>
      </c>
      <c r="G24" s="27">
        <v>0.4128</v>
      </c>
      <c r="H24" s="27">
        <v>2.8582000000000001</v>
      </c>
      <c r="I24" s="27">
        <v>3.0800000000000001E-2</v>
      </c>
      <c r="J24" s="26">
        <v>17</v>
      </c>
      <c r="K24" s="27">
        <v>0.1827</v>
      </c>
      <c r="L24" s="27">
        <v>0.4647</v>
      </c>
      <c r="M24" s="27">
        <v>3.3487</v>
      </c>
      <c r="N24" s="243">
        <v>3.7400000000000003E-2</v>
      </c>
      <c r="O24" s="210">
        <v>27</v>
      </c>
      <c r="P24" s="27">
        <v>0.129</v>
      </c>
      <c r="Q24" s="27">
        <v>0.38879999999999998</v>
      </c>
      <c r="R24" s="27">
        <v>2.6278999999999999</v>
      </c>
      <c r="S24" s="27">
        <v>2.7300000000000001E-2</v>
      </c>
      <c r="T24" s="29">
        <v>26</v>
      </c>
      <c r="U24" s="27">
        <v>0.13222999999999999</v>
      </c>
      <c r="V24" s="27">
        <v>0.39360000000000001</v>
      </c>
      <c r="W24" s="27">
        <v>2.6488</v>
      </c>
      <c r="X24" s="243">
        <v>2.81E-2</v>
      </c>
      <c r="Y24" s="210">
        <v>18</v>
      </c>
      <c r="Z24" s="27">
        <v>0.17549999999999999</v>
      </c>
      <c r="AA24" s="27">
        <v>0.45469999999999999</v>
      </c>
      <c r="AB24" s="27">
        <v>3.2793999999999999</v>
      </c>
      <c r="AC24" s="27">
        <v>3.61E-2</v>
      </c>
      <c r="AD24" s="29">
        <v>17</v>
      </c>
      <c r="AE24" s="27">
        <v>0.1827</v>
      </c>
      <c r="AF24" s="27">
        <v>0.4647</v>
      </c>
      <c r="AG24" s="27">
        <v>3.3487</v>
      </c>
      <c r="AH24" s="243">
        <v>3.7400000000000003E-2</v>
      </c>
      <c r="AI24" s="261">
        <f t="shared" si="0"/>
        <v>-1.3075796566273255E-2</v>
      </c>
      <c r="AJ24" s="262">
        <f t="shared" si="1"/>
        <v>-1.8564624532455772E-2</v>
      </c>
      <c r="AK24" s="262">
        <f t="shared" si="2"/>
        <v>-0.16007371599000017</v>
      </c>
      <c r="AL24" s="263">
        <f t="shared" si="3"/>
        <v>-2.5462522605537901E-3</v>
      </c>
    </row>
    <row r="25" spans="1:38" x14ac:dyDescent="0.25">
      <c r="A25" s="256">
        <v>35</v>
      </c>
      <c r="B25" s="16" t="s">
        <v>27</v>
      </c>
      <c r="C25" s="24">
        <v>46834</v>
      </c>
      <c r="D25" s="255">
        <v>0.1</v>
      </c>
      <c r="E25" s="250">
        <v>17</v>
      </c>
      <c r="F25" s="27">
        <v>0.1827</v>
      </c>
      <c r="G25" s="27">
        <v>0.4647</v>
      </c>
      <c r="H25" s="27">
        <v>3.3487</v>
      </c>
      <c r="I25" s="27">
        <v>3.7400000000000003E-2</v>
      </c>
      <c r="J25" s="26">
        <v>20</v>
      </c>
      <c r="K25" s="27">
        <v>0.161</v>
      </c>
      <c r="L25" s="27">
        <v>0.43459999999999999</v>
      </c>
      <c r="M25" s="27">
        <v>3.1408999999999998</v>
      </c>
      <c r="N25" s="243">
        <v>3.3599999999999998E-2</v>
      </c>
      <c r="O25" s="210">
        <v>28</v>
      </c>
      <c r="P25" s="27">
        <v>0.12570000000000001</v>
      </c>
      <c r="Q25" s="27">
        <v>0.3841</v>
      </c>
      <c r="R25" s="27">
        <v>2.6069</v>
      </c>
      <c r="S25" s="27">
        <v>2.6499999999999999E-2</v>
      </c>
      <c r="T25" s="29">
        <v>27</v>
      </c>
      <c r="U25" s="27">
        <v>0.129</v>
      </c>
      <c r="V25" s="27">
        <v>0.38879999999999998</v>
      </c>
      <c r="W25" s="27">
        <v>2.6278999999999999</v>
      </c>
      <c r="X25" s="243">
        <v>2.7300000000000001E-2</v>
      </c>
      <c r="Y25" s="210">
        <v>25</v>
      </c>
      <c r="Z25" s="27">
        <v>0.1356</v>
      </c>
      <c r="AA25" s="27">
        <v>0.39829999999999999</v>
      </c>
      <c r="AB25" s="27">
        <v>2.6698</v>
      </c>
      <c r="AC25" s="27">
        <v>2.8899999999999999E-2</v>
      </c>
      <c r="AD25" s="29">
        <v>24</v>
      </c>
      <c r="AE25" s="27">
        <v>0.1406</v>
      </c>
      <c r="AF25" s="27">
        <v>0.40560000000000002</v>
      </c>
      <c r="AG25" s="27">
        <v>2.7639999999999998</v>
      </c>
      <c r="AH25" s="243">
        <v>2.98E-2</v>
      </c>
      <c r="AI25" s="261">
        <f t="shared" si="0"/>
        <v>1.7071131184748101E-4</v>
      </c>
      <c r="AJ25" s="262">
        <f t="shared" si="1"/>
        <v>1.2949746182827065E-17</v>
      </c>
      <c r="AK25" s="262">
        <f t="shared" si="2"/>
        <v>-2.2564621199997951E-3</v>
      </c>
      <c r="AL25" s="263">
        <f t="shared" si="3"/>
        <v>-2.0174973218338777E-4</v>
      </c>
    </row>
    <row r="26" spans="1:38" x14ac:dyDescent="0.25">
      <c r="A26" s="256">
        <v>36</v>
      </c>
      <c r="B26" s="16" t="s">
        <v>26</v>
      </c>
      <c r="C26" s="25">
        <v>43413</v>
      </c>
      <c r="D26" s="255">
        <v>0.1</v>
      </c>
      <c r="E26" s="250">
        <v>40</v>
      </c>
      <c r="F26" s="27">
        <v>9.3399999999999997E-2</v>
      </c>
      <c r="G26" s="27">
        <v>0.34589999999999999</v>
      </c>
      <c r="H26" s="27">
        <v>2.1817000000000002</v>
      </c>
      <c r="I26" s="27">
        <v>1.8599999999999998E-2</v>
      </c>
      <c r="J26" s="26">
        <v>34</v>
      </c>
      <c r="K26" s="27">
        <v>0.10730000000000001</v>
      </c>
      <c r="L26" s="27">
        <v>0.35599999999999998</v>
      </c>
      <c r="M26" s="27">
        <v>2.3944000000000001</v>
      </c>
      <c r="N26" s="243">
        <v>2.18E-2</v>
      </c>
      <c r="O26" s="210">
        <v>41</v>
      </c>
      <c r="P26" s="27">
        <v>9.1800000000000007E-2</v>
      </c>
      <c r="Q26" s="27">
        <v>0.3453</v>
      </c>
      <c r="R26" s="27">
        <v>2.1613000000000002</v>
      </c>
      <c r="S26" s="27">
        <v>1.83E-2</v>
      </c>
      <c r="T26" s="29">
        <v>39</v>
      </c>
      <c r="U26" s="27">
        <v>9.5600000000000004E-2</v>
      </c>
      <c r="V26" s="27">
        <v>0.34699999999999998</v>
      </c>
      <c r="W26" s="27">
        <v>2.2157</v>
      </c>
      <c r="X26" s="243">
        <v>1.9099999999999999E-2</v>
      </c>
      <c r="Y26" s="210">
        <v>34</v>
      </c>
      <c r="Z26" s="27">
        <v>0.10730000000000001</v>
      </c>
      <c r="AA26" s="27">
        <v>0.35599999999999998</v>
      </c>
      <c r="AB26" s="27">
        <v>2.3944000000000001</v>
      </c>
      <c r="AC26" s="27">
        <v>2.18E-2</v>
      </c>
      <c r="AD26" s="29">
        <v>33</v>
      </c>
      <c r="AE26" s="27">
        <v>0.1103</v>
      </c>
      <c r="AF26" s="27">
        <v>0.36059999999999998</v>
      </c>
      <c r="AG26" s="27">
        <v>2.4369999999999998</v>
      </c>
      <c r="AH26" s="243">
        <v>2.2599999999999999E-2</v>
      </c>
      <c r="AI26" s="261">
        <f t="shared" si="0"/>
        <v>-7.4157798887880145E-3</v>
      </c>
      <c r="AJ26" s="262">
        <f t="shared" si="1"/>
        <v>-5.0925045211075584E-3</v>
      </c>
      <c r="AK26" s="262">
        <f t="shared" si="2"/>
        <v>-0.12008697848249968</v>
      </c>
      <c r="AL26" s="263">
        <f t="shared" si="3"/>
        <v>-1.6687302950522006E-3</v>
      </c>
    </row>
    <row r="27" spans="1:38" x14ac:dyDescent="0.25">
      <c r="A27" s="256">
        <v>36</v>
      </c>
      <c r="B27" s="16" t="s">
        <v>27</v>
      </c>
      <c r="C27" s="24">
        <v>42974</v>
      </c>
      <c r="D27" s="255">
        <v>0.3</v>
      </c>
      <c r="E27" s="250">
        <v>22</v>
      </c>
      <c r="F27" s="27">
        <v>0.15079999999999999</v>
      </c>
      <c r="G27" s="27">
        <v>0.42009999999999997</v>
      </c>
      <c r="H27" s="27">
        <v>2.9525000000000001</v>
      </c>
      <c r="I27" s="27">
        <v>3.1699999999999999E-2</v>
      </c>
      <c r="J27" s="26">
        <v>28</v>
      </c>
      <c r="K27" s="27">
        <v>0.12570000000000001</v>
      </c>
      <c r="L27" s="27">
        <v>0.3841</v>
      </c>
      <c r="M27" s="27">
        <v>2.6069</v>
      </c>
      <c r="N27" s="243">
        <v>2.6499999999999999E-2</v>
      </c>
      <c r="O27" s="210">
        <v>34</v>
      </c>
      <c r="P27" s="27">
        <v>0.10730000000000001</v>
      </c>
      <c r="Q27" s="27">
        <v>0.35599999999999998</v>
      </c>
      <c r="R27" s="27">
        <v>2.3944000000000001</v>
      </c>
      <c r="S27" s="27">
        <v>2.18E-2</v>
      </c>
      <c r="T27" s="29">
        <v>37</v>
      </c>
      <c r="U27" s="27">
        <v>0.1</v>
      </c>
      <c r="V27" s="27">
        <v>0.34920000000000001</v>
      </c>
      <c r="W27" s="27">
        <v>2.2837000000000001</v>
      </c>
      <c r="X27" s="243">
        <v>2.01E-2</v>
      </c>
      <c r="Y27" s="210">
        <v>29</v>
      </c>
      <c r="Z27" s="29">
        <v>0.12239999999999999</v>
      </c>
      <c r="AA27" s="29">
        <v>0.37930000000000003</v>
      </c>
      <c r="AB27" s="29">
        <v>2.5859000000000001</v>
      </c>
      <c r="AC27" s="29">
        <v>2.58E-2</v>
      </c>
      <c r="AD27" s="29">
        <v>31</v>
      </c>
      <c r="AE27" s="27">
        <v>0.1162</v>
      </c>
      <c r="AF27" s="27">
        <v>0.36990000000000001</v>
      </c>
      <c r="AG27" s="27">
        <v>2.5223</v>
      </c>
      <c r="AH27" s="243">
        <v>2.4199999999999999E-2</v>
      </c>
      <c r="AI27" s="261">
        <f t="shared" si="0"/>
        <v>4.1652398320472073E-2</v>
      </c>
      <c r="AJ27" s="262">
        <f t="shared" si="1"/>
        <v>4.998287798456643E-2</v>
      </c>
      <c r="AK27" s="262">
        <f t="shared" si="2"/>
        <v>0.64239221929500023</v>
      </c>
      <c r="AL27" s="263">
        <f t="shared" si="3"/>
        <v>9.4198500817067633E-3</v>
      </c>
    </row>
    <row r="28" spans="1:38" x14ac:dyDescent="0.25">
      <c r="A28" s="256">
        <v>41</v>
      </c>
      <c r="B28" s="16" t="s">
        <v>26</v>
      </c>
      <c r="C28" s="24">
        <v>39444</v>
      </c>
      <c r="D28" s="255">
        <v>0.1</v>
      </c>
      <c r="E28" s="250">
        <v>27</v>
      </c>
      <c r="F28" s="27">
        <v>0.129</v>
      </c>
      <c r="G28" s="27">
        <v>0.38879999999999998</v>
      </c>
      <c r="H28" s="27">
        <v>2.6278999999999999</v>
      </c>
      <c r="I28" s="27">
        <v>2.7300000000000001E-2</v>
      </c>
      <c r="J28" s="26">
        <v>34</v>
      </c>
      <c r="K28" s="27">
        <v>0.10730000000000001</v>
      </c>
      <c r="L28" s="27">
        <v>0.35599999999999998</v>
      </c>
      <c r="M28" s="27">
        <v>2.3944000000000001</v>
      </c>
      <c r="N28" s="243">
        <v>2.18E-2</v>
      </c>
      <c r="O28" s="210">
        <v>11</v>
      </c>
      <c r="P28" s="29">
        <v>0.25159999999999999</v>
      </c>
      <c r="Q28" s="29">
        <v>0.55110000000000003</v>
      </c>
      <c r="R28" s="29">
        <v>3.8605999999999998</v>
      </c>
      <c r="S28" s="29">
        <v>4.8800000000000003E-2</v>
      </c>
      <c r="T28" s="29">
        <v>18</v>
      </c>
      <c r="U28" s="27">
        <v>0.17549999999999999</v>
      </c>
      <c r="V28" s="27">
        <v>0.45469999999999999</v>
      </c>
      <c r="W28" s="27">
        <v>3.2793999999999999</v>
      </c>
      <c r="X28" s="243">
        <v>3.61E-2</v>
      </c>
      <c r="Y28" s="210">
        <v>9</v>
      </c>
      <c r="Z28" s="27">
        <v>0.30659999999999998</v>
      </c>
      <c r="AA28" s="27">
        <v>0.62370000000000003</v>
      </c>
      <c r="AB28" s="27">
        <v>4.2503000000000002</v>
      </c>
      <c r="AC28" s="27">
        <v>5.8000000000000003E-2</v>
      </c>
      <c r="AD28" s="29">
        <v>14</v>
      </c>
      <c r="AE28" s="29">
        <v>0.21079999999999999</v>
      </c>
      <c r="AF28" s="29">
        <v>0.50139999999999996</v>
      </c>
      <c r="AG28" s="29">
        <v>3.5804999999999998</v>
      </c>
      <c r="AH28" s="209">
        <v>4.2099999999999999E-2</v>
      </c>
      <c r="AI28" s="261">
        <f t="shared" si="0"/>
        <v>9.3950129169314583E-2</v>
      </c>
      <c r="AJ28" s="262">
        <f t="shared" si="1"/>
        <v>0.12030008192464825</v>
      </c>
      <c r="AK28" s="262">
        <f t="shared" si="2"/>
        <v>0.78718085109000002</v>
      </c>
      <c r="AL28" s="263">
        <f t="shared" si="3"/>
        <v>1.6024326427598736E-2</v>
      </c>
    </row>
    <row r="29" spans="1:38" x14ac:dyDescent="0.25">
      <c r="A29" s="256">
        <v>41</v>
      </c>
      <c r="B29" s="16" t="s">
        <v>27</v>
      </c>
      <c r="C29" s="25">
        <v>43926</v>
      </c>
      <c r="D29" s="255">
        <v>0.2</v>
      </c>
      <c r="E29" s="250">
        <v>38</v>
      </c>
      <c r="F29" s="27">
        <v>9.7799999999999998E-2</v>
      </c>
      <c r="G29" s="27">
        <v>0.34810000000000002</v>
      </c>
      <c r="H29" s="27">
        <v>2.2496999999999998</v>
      </c>
      <c r="I29" s="27">
        <v>1.9599999999999999E-2</v>
      </c>
      <c r="J29" s="26">
        <v>39</v>
      </c>
      <c r="K29" s="27">
        <v>9.5600000000000004E-2</v>
      </c>
      <c r="L29" s="27">
        <v>0.34699999999999998</v>
      </c>
      <c r="M29" s="27">
        <v>2.2157</v>
      </c>
      <c r="N29" s="243">
        <v>1.9099999999999999E-2</v>
      </c>
      <c r="O29" s="210">
        <v>42</v>
      </c>
      <c r="P29" s="27">
        <v>9.0200000000000002E-2</v>
      </c>
      <c r="Q29" s="27">
        <v>0.34470000000000001</v>
      </c>
      <c r="R29" s="27">
        <v>2.141</v>
      </c>
      <c r="S29" s="27">
        <v>1.7899999999999999E-2</v>
      </c>
      <c r="T29" s="29">
        <v>42</v>
      </c>
      <c r="U29" s="27">
        <v>9.0200000000000002E-2</v>
      </c>
      <c r="V29" s="27">
        <v>0.34470000000000001</v>
      </c>
      <c r="W29" s="27">
        <v>2.141</v>
      </c>
      <c r="X29" s="243">
        <v>1.7899999999999999E-2</v>
      </c>
      <c r="Y29" s="210">
        <v>43</v>
      </c>
      <c r="Z29" s="27">
        <v>8.8599999999999998E-2</v>
      </c>
      <c r="AA29" s="27">
        <v>0.34420000000000001</v>
      </c>
      <c r="AB29" s="27">
        <v>2.1206</v>
      </c>
      <c r="AC29" s="27">
        <v>1.7500000000000002E-2</v>
      </c>
      <c r="AD29" s="29">
        <v>43</v>
      </c>
      <c r="AE29" s="27">
        <v>8.8599999999999998E-2</v>
      </c>
      <c r="AF29" s="27">
        <v>0.34420000000000001</v>
      </c>
      <c r="AG29" s="27">
        <v>2.1206</v>
      </c>
      <c r="AH29" s="243">
        <v>1.7500000000000002E-2</v>
      </c>
      <c r="AI29" s="261">
        <f t="shared" si="0"/>
        <v>9.6066939627780022E-4</v>
      </c>
      <c r="AJ29" s="262">
        <f t="shared" si="1"/>
        <v>4.8033469813892136E-4</v>
      </c>
      <c r="AK29" s="262">
        <f t="shared" si="2"/>
        <v>1.6353649799999908E-2</v>
      </c>
      <c r="AL29" s="263">
        <f t="shared" si="3"/>
        <v>2.1833395369950088E-4</v>
      </c>
    </row>
    <row r="30" spans="1:38" x14ac:dyDescent="0.25">
      <c r="A30" s="256">
        <v>42</v>
      </c>
      <c r="B30" s="16" t="s">
        <v>26</v>
      </c>
      <c r="C30" s="25">
        <v>43926</v>
      </c>
      <c r="D30" s="255">
        <v>0.2</v>
      </c>
      <c r="E30" s="250">
        <v>32</v>
      </c>
      <c r="F30" s="27">
        <v>0.1132</v>
      </c>
      <c r="G30" s="27">
        <v>0.36530000000000001</v>
      </c>
      <c r="H30" s="27">
        <v>2.4796999999999998</v>
      </c>
      <c r="I30" s="27">
        <v>2.3400000000000001E-2</v>
      </c>
      <c r="J30" s="26">
        <v>31</v>
      </c>
      <c r="K30" s="27">
        <v>0.1162</v>
      </c>
      <c r="L30" s="27">
        <v>0.36990000000000001</v>
      </c>
      <c r="M30" s="27">
        <v>2.5223</v>
      </c>
      <c r="N30" s="243">
        <v>2.4199999999999999E-2</v>
      </c>
      <c r="O30" s="210">
        <v>9</v>
      </c>
      <c r="P30" s="27">
        <v>0.30659999999999998</v>
      </c>
      <c r="Q30" s="27">
        <v>0.62370000000000003</v>
      </c>
      <c r="R30" s="27">
        <v>4.2503000000000002</v>
      </c>
      <c r="S30" s="27">
        <v>5.8000000000000003E-2</v>
      </c>
      <c r="T30" s="29">
        <v>11</v>
      </c>
      <c r="U30" s="29">
        <v>0.25159999999999999</v>
      </c>
      <c r="V30" s="29">
        <v>0.55110000000000003</v>
      </c>
      <c r="W30" s="29">
        <v>3.8605999999999998</v>
      </c>
      <c r="X30" s="209">
        <v>4.8800000000000003E-2</v>
      </c>
      <c r="Y30" s="210">
        <v>9</v>
      </c>
      <c r="Z30" s="27">
        <v>0.30659999999999998</v>
      </c>
      <c r="AA30" s="27">
        <v>0.62370000000000003</v>
      </c>
      <c r="AB30" s="27">
        <v>4.2503000000000002</v>
      </c>
      <c r="AC30" s="27">
        <v>5.8000000000000003E-2</v>
      </c>
      <c r="AD30" s="29">
        <v>11</v>
      </c>
      <c r="AE30" s="29">
        <v>0.25159999999999999</v>
      </c>
      <c r="AF30" s="29">
        <v>0.55110000000000003</v>
      </c>
      <c r="AG30" s="29">
        <v>3.8605999999999998</v>
      </c>
      <c r="AH30" s="209">
        <v>4.8800000000000003E-2</v>
      </c>
      <c r="AI30" s="261">
        <f t="shared" si="0"/>
        <v>0.13478482741715841</v>
      </c>
      <c r="AJ30" s="262">
        <f t="shared" si="1"/>
        <v>0.1776365047299138</v>
      </c>
      <c r="AK30" s="262">
        <f t="shared" si="2"/>
        <v>1.041679393290001</v>
      </c>
      <c r="AL30" s="263">
        <f t="shared" si="3"/>
        <v>2.2415619246482072E-2</v>
      </c>
    </row>
    <row r="31" spans="1:38" x14ac:dyDescent="0.25">
      <c r="A31" s="256">
        <v>42</v>
      </c>
      <c r="B31" s="16" t="s">
        <v>27</v>
      </c>
      <c r="C31" s="24">
        <v>47125</v>
      </c>
      <c r="D31" s="255">
        <v>0.1</v>
      </c>
      <c r="E31" s="250">
        <v>25</v>
      </c>
      <c r="F31" s="27">
        <v>0.1356</v>
      </c>
      <c r="G31" s="27">
        <v>0.39829999999999999</v>
      </c>
      <c r="H31" s="27">
        <v>2.6698</v>
      </c>
      <c r="I31" s="27">
        <v>2.8899999999999999E-2</v>
      </c>
      <c r="J31" s="26">
        <v>27</v>
      </c>
      <c r="K31" s="27">
        <v>0.129</v>
      </c>
      <c r="L31" s="27">
        <v>0.38879999999999998</v>
      </c>
      <c r="M31" s="27">
        <v>2.6278999999999999</v>
      </c>
      <c r="N31" s="243">
        <v>2.7300000000000001E-2</v>
      </c>
      <c r="O31" s="210">
        <v>27</v>
      </c>
      <c r="P31" s="27">
        <v>0.129</v>
      </c>
      <c r="Q31" s="27">
        <v>0.38879999999999998</v>
      </c>
      <c r="R31" s="27">
        <v>2.6278999999999999</v>
      </c>
      <c r="S31" s="27">
        <v>2.7300000000000001E-2</v>
      </c>
      <c r="T31" s="29">
        <v>28</v>
      </c>
      <c r="U31" s="27">
        <v>0.12570000000000001</v>
      </c>
      <c r="V31" s="27">
        <v>0.3841</v>
      </c>
      <c r="W31" s="27">
        <v>2.6069</v>
      </c>
      <c r="X31" s="243">
        <v>2.6499999999999999E-2</v>
      </c>
      <c r="Y31" s="210">
        <v>28</v>
      </c>
      <c r="Z31" s="27">
        <v>0.12570000000000001</v>
      </c>
      <c r="AA31" s="27">
        <v>0.3841</v>
      </c>
      <c r="AB31" s="27">
        <v>2.6069</v>
      </c>
      <c r="AC31" s="29">
        <v>2.6499999999999999E-2</v>
      </c>
      <c r="AD31" s="29">
        <v>28</v>
      </c>
      <c r="AE31" s="27">
        <v>0.12570000000000001</v>
      </c>
      <c r="AF31" s="27">
        <v>0.3841</v>
      </c>
      <c r="AG31" s="27">
        <v>2.6069</v>
      </c>
      <c r="AH31" s="209">
        <v>2.6499999999999999E-2</v>
      </c>
      <c r="AI31" s="261">
        <f t="shared" si="0"/>
        <v>4.8955024398547389E-3</v>
      </c>
      <c r="AJ31" s="262">
        <f t="shared" si="1"/>
        <v>6.9958057194734287E-3</v>
      </c>
      <c r="AK31" s="262">
        <f t="shared" si="2"/>
        <v>3.4289445937499913E-2</v>
      </c>
      <c r="AL31" s="263">
        <f t="shared" si="3"/>
        <v>1.186788470267818E-3</v>
      </c>
    </row>
    <row r="32" spans="1:38" x14ac:dyDescent="0.25">
      <c r="A32" s="256">
        <v>116</v>
      </c>
      <c r="B32" s="16" t="s">
        <v>26</v>
      </c>
      <c r="C32" s="24">
        <v>48682</v>
      </c>
      <c r="D32" s="255">
        <v>0.5</v>
      </c>
      <c r="E32" s="250">
        <v>48</v>
      </c>
      <c r="F32" s="27">
        <v>8.1900000000000001E-2</v>
      </c>
      <c r="G32" s="27">
        <v>0.34350000000000003</v>
      </c>
      <c r="H32" s="27">
        <v>2.0611999999999999</v>
      </c>
      <c r="I32" s="27">
        <v>1.5900000000000001E-2</v>
      </c>
      <c r="J32" s="26">
        <v>45</v>
      </c>
      <c r="K32" s="27">
        <v>8.5400000000000004E-2</v>
      </c>
      <c r="L32" s="27">
        <v>0.34310000000000002</v>
      </c>
      <c r="M32" s="27">
        <v>2.0798999999999999</v>
      </c>
      <c r="N32" s="243">
        <v>1.6799999999999999E-2</v>
      </c>
      <c r="O32" s="210">
        <v>49</v>
      </c>
      <c r="P32" s="27">
        <v>8.0699999999999994E-2</v>
      </c>
      <c r="Q32" s="27">
        <v>0.34370000000000001</v>
      </c>
      <c r="R32" s="27">
        <v>2.0550000000000002</v>
      </c>
      <c r="S32" s="27">
        <v>1.5599999999999999E-2</v>
      </c>
      <c r="T32" s="29">
        <v>46</v>
      </c>
      <c r="U32" s="27">
        <v>8.4199999999999997E-2</v>
      </c>
      <c r="V32" s="27">
        <v>0.34320000000000001</v>
      </c>
      <c r="W32" s="27">
        <v>2.0737000000000001</v>
      </c>
      <c r="X32" s="243">
        <v>1.6500000000000001E-2</v>
      </c>
      <c r="Y32" s="210">
        <v>12</v>
      </c>
      <c r="Z32" s="27">
        <v>0.23799999999999999</v>
      </c>
      <c r="AA32" s="27">
        <v>0.53449999999999998</v>
      </c>
      <c r="AB32" s="27">
        <v>3.7673000000000001</v>
      </c>
      <c r="AC32" s="27">
        <v>4.6600000000000003E-2</v>
      </c>
      <c r="AD32" s="29">
        <v>12</v>
      </c>
      <c r="AE32" s="27">
        <v>0.23799999999999999</v>
      </c>
      <c r="AF32" s="27">
        <v>0.53449999999999998</v>
      </c>
      <c r="AG32" s="27">
        <v>3.7673000000000001</v>
      </c>
      <c r="AH32" s="243">
        <v>4.6600000000000003E-2</v>
      </c>
      <c r="AI32" s="261">
        <f t="shared" si="0"/>
        <v>-2.2584205174761705E-2</v>
      </c>
      <c r="AJ32" s="262">
        <f t="shared" si="1"/>
        <v>3.1053282115297482E-3</v>
      </c>
      <c r="AK32" s="262">
        <f t="shared" si="2"/>
        <v>-0.13291159639999955</v>
      </c>
      <c r="AL32" s="263">
        <f t="shared" si="3"/>
        <v>-5.8073670449387254E-3</v>
      </c>
    </row>
    <row r="33" spans="1:38" x14ac:dyDescent="0.25">
      <c r="A33" s="256">
        <v>116</v>
      </c>
      <c r="B33" s="16" t="s">
        <v>27</v>
      </c>
      <c r="C33" s="24">
        <v>1534</v>
      </c>
      <c r="D33" s="255">
        <v>0.4</v>
      </c>
      <c r="E33" s="250">
        <v>50</v>
      </c>
      <c r="F33" s="27">
        <v>7.9500000000000001E-2</v>
      </c>
      <c r="G33" s="27">
        <v>0.34379999999999999</v>
      </c>
      <c r="H33" s="27">
        <v>2.0488</v>
      </c>
      <c r="I33" s="27">
        <v>1.52E-2</v>
      </c>
      <c r="J33" s="26">
        <v>42</v>
      </c>
      <c r="K33" s="27">
        <v>9.0200000000000002E-2</v>
      </c>
      <c r="L33" s="27">
        <v>0.34470000000000001</v>
      </c>
      <c r="M33" s="27">
        <v>2.141</v>
      </c>
      <c r="N33" s="243">
        <v>1.7899999999999999E-2</v>
      </c>
      <c r="O33" s="210">
        <v>50</v>
      </c>
      <c r="P33" s="27">
        <v>7.9500000000000001E-2</v>
      </c>
      <c r="Q33" s="27">
        <v>0.34379999999999999</v>
      </c>
      <c r="R33" s="27">
        <v>2.0488</v>
      </c>
      <c r="S33" s="27">
        <v>1.52E-2</v>
      </c>
      <c r="T33" s="29">
        <v>45</v>
      </c>
      <c r="U33" s="27">
        <v>8.5400000000000004E-2</v>
      </c>
      <c r="V33" s="27">
        <v>0.34310000000000002</v>
      </c>
      <c r="W33" s="27">
        <v>2.0798999999999999</v>
      </c>
      <c r="X33" s="243">
        <v>1.6799999999999999E-2</v>
      </c>
      <c r="Y33" s="210">
        <v>50</v>
      </c>
      <c r="Z33" s="27">
        <v>7.9500000000000001E-2</v>
      </c>
      <c r="AA33" s="27">
        <v>0.34379999999999999</v>
      </c>
      <c r="AB33" s="27">
        <v>2.0488</v>
      </c>
      <c r="AC33" s="27">
        <v>1.52E-2</v>
      </c>
      <c r="AD33" s="29">
        <v>41</v>
      </c>
      <c r="AE33" s="27">
        <v>9.1800000000000007E-2</v>
      </c>
      <c r="AF33" s="27">
        <v>0.3453</v>
      </c>
      <c r="AG33" s="27">
        <v>2.1613000000000002</v>
      </c>
      <c r="AH33" s="243">
        <v>1.83E-2</v>
      </c>
      <c r="AI33" s="261">
        <f t="shared" si="0"/>
        <v>-1.6062783477076724E-3</v>
      </c>
      <c r="AJ33" s="262">
        <f t="shared" si="1"/>
        <v>4.0665274625477845E-6</v>
      </c>
      <c r="AK33" s="262">
        <f t="shared" si="2"/>
        <v>-1.266404438E-2</v>
      </c>
      <c r="AL33" s="263">
        <f t="shared" si="3"/>
        <v>-4.1986896050839754E-4</v>
      </c>
    </row>
    <row r="34" spans="1:38" x14ac:dyDescent="0.25">
      <c r="A34" s="256">
        <v>275</v>
      </c>
      <c r="B34" s="16" t="s">
        <v>26</v>
      </c>
      <c r="C34" s="24">
        <v>36956</v>
      </c>
      <c r="D34" s="255">
        <v>0.2</v>
      </c>
      <c r="E34" s="250">
        <v>28</v>
      </c>
      <c r="F34" s="27">
        <v>0.12570000000000001</v>
      </c>
      <c r="G34" s="27">
        <v>0.3841</v>
      </c>
      <c r="H34" s="27">
        <v>2.6069</v>
      </c>
      <c r="I34" s="27">
        <v>2.6499999999999999E-2</v>
      </c>
      <c r="J34" s="26">
        <v>30</v>
      </c>
      <c r="K34" s="27">
        <v>0.1192</v>
      </c>
      <c r="L34" s="27">
        <v>0.3745</v>
      </c>
      <c r="M34" s="27">
        <v>2.5649999999999999</v>
      </c>
      <c r="N34" s="243">
        <v>2.5000000000000001E-2</v>
      </c>
      <c r="O34" s="210">
        <v>28</v>
      </c>
      <c r="P34" s="27">
        <v>0.12570000000000001</v>
      </c>
      <c r="Q34" s="27">
        <v>0.3841</v>
      </c>
      <c r="R34" s="27">
        <v>2.6069</v>
      </c>
      <c r="S34" s="27">
        <v>2.6499999999999999E-2</v>
      </c>
      <c r="T34" s="29">
        <v>35</v>
      </c>
      <c r="U34" s="27">
        <v>0.1043</v>
      </c>
      <c r="V34" s="27">
        <v>0.35139999999999999</v>
      </c>
      <c r="W34" s="27">
        <v>2.3517999999999999</v>
      </c>
      <c r="X34" s="243">
        <v>2.1000000000000001E-2</v>
      </c>
      <c r="Y34" s="210">
        <v>11</v>
      </c>
      <c r="Z34" s="29">
        <v>0.25159999999999999</v>
      </c>
      <c r="AA34" s="29">
        <v>0.55110000000000003</v>
      </c>
      <c r="AB34" s="29">
        <v>3.8605999999999998</v>
      </c>
      <c r="AC34" s="29">
        <v>4.8800000000000003E-2</v>
      </c>
      <c r="AD34" s="29">
        <v>29</v>
      </c>
      <c r="AE34" s="29">
        <v>0.12239999999999999</v>
      </c>
      <c r="AF34" s="29">
        <v>0.37930000000000003</v>
      </c>
      <c r="AG34" s="29">
        <v>2.5859000000000001</v>
      </c>
      <c r="AH34" s="209">
        <v>2.58E-2</v>
      </c>
      <c r="AI34" s="261">
        <f t="shared" si="0"/>
        <v>9.9743455560599187E-2</v>
      </c>
      <c r="AJ34" s="262">
        <f t="shared" si="1"/>
        <v>0.13973880557421703</v>
      </c>
      <c r="AK34" s="262">
        <f t="shared" si="2"/>
        <v>1.1520633875200001</v>
      </c>
      <c r="AL34" s="263">
        <f t="shared" si="3"/>
        <v>2.0573235769405358E-2</v>
      </c>
    </row>
    <row r="35" spans="1:38" x14ac:dyDescent="0.25">
      <c r="A35" s="256">
        <v>275</v>
      </c>
      <c r="B35" s="16" t="s">
        <v>27</v>
      </c>
      <c r="C35" s="24">
        <v>39336</v>
      </c>
      <c r="D35" s="255">
        <v>0.1</v>
      </c>
      <c r="E35" s="250">
        <v>25</v>
      </c>
      <c r="F35" s="27">
        <v>0.1356</v>
      </c>
      <c r="G35" s="27">
        <v>0.39829999999999999</v>
      </c>
      <c r="H35" s="27">
        <v>2.6698</v>
      </c>
      <c r="I35" s="27">
        <v>2.8899999999999999E-2</v>
      </c>
      <c r="J35" s="26">
        <v>28</v>
      </c>
      <c r="K35" s="27">
        <v>0.12570000000000001</v>
      </c>
      <c r="L35" s="27">
        <v>0.3841</v>
      </c>
      <c r="M35" s="27">
        <v>2.6069</v>
      </c>
      <c r="N35" s="243">
        <v>2.6499999999999999E-2</v>
      </c>
      <c r="O35" s="210">
        <v>30</v>
      </c>
      <c r="P35" s="27">
        <v>0.1192</v>
      </c>
      <c r="Q35" s="27">
        <v>0.3745</v>
      </c>
      <c r="R35" s="27">
        <v>2.5649999999999999</v>
      </c>
      <c r="S35" s="27">
        <v>2.5000000000000001E-2</v>
      </c>
      <c r="T35" s="29">
        <v>33</v>
      </c>
      <c r="U35" s="27">
        <v>0.1103</v>
      </c>
      <c r="V35" s="27">
        <v>0.36059999999999998</v>
      </c>
      <c r="W35" s="27">
        <v>2.4369999999999998</v>
      </c>
      <c r="X35" s="243">
        <v>2.2599999999999999E-2</v>
      </c>
      <c r="Y35" s="210">
        <v>26</v>
      </c>
      <c r="Z35" s="27">
        <v>0.13222999999999999</v>
      </c>
      <c r="AA35" s="27">
        <v>0.39360000000000001</v>
      </c>
      <c r="AB35" s="27">
        <v>2.6488</v>
      </c>
      <c r="AC35" s="27">
        <v>2.81E-2</v>
      </c>
      <c r="AD35" s="29">
        <v>28</v>
      </c>
      <c r="AE35" s="27">
        <v>0.12570000000000001</v>
      </c>
      <c r="AF35" s="27">
        <v>0.3841</v>
      </c>
      <c r="AG35" s="27">
        <v>2.6069</v>
      </c>
      <c r="AH35" s="209">
        <v>2.6499999999999999E-2</v>
      </c>
      <c r="AI35" s="261">
        <f t="shared" si="0"/>
        <v>1.1178494837948253E-2</v>
      </c>
      <c r="AJ35" s="262">
        <f t="shared" si="1"/>
        <v>1.7029738229686814E-2</v>
      </c>
      <c r="AK35" s="262">
        <f t="shared" si="2"/>
        <v>0.14503370046000011</v>
      </c>
      <c r="AL35" s="263">
        <f t="shared" si="3"/>
        <v>2.9197561143894718E-3</v>
      </c>
    </row>
    <row r="36" spans="1:38" x14ac:dyDescent="0.25">
      <c r="A36" s="256">
        <v>277</v>
      </c>
      <c r="B36" s="16" t="s">
        <v>26</v>
      </c>
      <c r="C36" s="24">
        <v>42416</v>
      </c>
      <c r="D36" s="255">
        <v>0.1</v>
      </c>
      <c r="E36" s="250">
        <v>23</v>
      </c>
      <c r="F36" s="27">
        <v>0.1457</v>
      </c>
      <c r="G36" s="27">
        <v>0.4128</v>
      </c>
      <c r="H36" s="27">
        <v>2.8582000000000001</v>
      </c>
      <c r="I36" s="27">
        <v>3.0800000000000001E-2</v>
      </c>
      <c r="J36" s="26">
        <v>18</v>
      </c>
      <c r="K36" s="27">
        <v>0.17549999999999999</v>
      </c>
      <c r="L36" s="27">
        <v>0.45469999999999999</v>
      </c>
      <c r="M36" s="27">
        <v>3.2793999999999999</v>
      </c>
      <c r="N36" s="243">
        <v>3.61E-2</v>
      </c>
      <c r="O36" s="210">
        <v>24</v>
      </c>
      <c r="P36" s="27">
        <v>0.1406</v>
      </c>
      <c r="Q36" s="27">
        <v>0.40560000000000002</v>
      </c>
      <c r="R36" s="27">
        <v>2.7639999999999998</v>
      </c>
      <c r="S36" s="27">
        <v>2.98E-2</v>
      </c>
      <c r="T36" s="29">
        <v>22</v>
      </c>
      <c r="U36" s="29">
        <v>0.15079999999999999</v>
      </c>
      <c r="V36" s="29">
        <v>0.42009999999999997</v>
      </c>
      <c r="W36" s="29">
        <v>2.9525000000000001</v>
      </c>
      <c r="X36" s="209">
        <v>3.1699999999999999E-2</v>
      </c>
      <c r="Y36" s="210">
        <v>14</v>
      </c>
      <c r="Z36" s="29">
        <v>0.21079999999999999</v>
      </c>
      <c r="AA36" s="29">
        <v>0.50139999999999996</v>
      </c>
      <c r="AB36" s="29">
        <v>3.5804999999999998</v>
      </c>
      <c r="AC36" s="29">
        <v>4.2099999999999999E-2</v>
      </c>
      <c r="AD36" s="29">
        <v>16</v>
      </c>
      <c r="AE36" s="29">
        <v>0.18990000000000001</v>
      </c>
      <c r="AF36" s="29">
        <v>0.4748</v>
      </c>
      <c r="AG36" s="29">
        <v>3.4178999999999999</v>
      </c>
      <c r="AH36" s="209">
        <v>3.8600000000000002E-2</v>
      </c>
      <c r="AI36" s="261">
        <f t="shared" si="0"/>
        <v>-9.7262217703132023E-3</v>
      </c>
      <c r="AJ36" s="262">
        <f t="shared" si="1"/>
        <v>-1.4603387889241917E-2</v>
      </c>
      <c r="AK36" s="262">
        <f t="shared" si="2"/>
        <v>-0.23715856604000041</v>
      </c>
      <c r="AL36" s="263">
        <f t="shared" si="3"/>
        <v>-1.8693460916931459E-3</v>
      </c>
    </row>
    <row r="37" spans="1:38" x14ac:dyDescent="0.25">
      <c r="A37" s="256">
        <v>277</v>
      </c>
      <c r="B37" s="16" t="s">
        <v>27</v>
      </c>
      <c r="C37" s="24">
        <v>43514</v>
      </c>
      <c r="D37" s="255">
        <v>0.2</v>
      </c>
      <c r="E37" s="250">
        <v>7</v>
      </c>
      <c r="F37" s="27">
        <v>0.38940000000000002</v>
      </c>
      <c r="G37" s="27">
        <v>0.73560000000000003</v>
      </c>
      <c r="H37" s="27">
        <v>4.843</v>
      </c>
      <c r="I37" s="27">
        <v>7.1800000000000003E-2</v>
      </c>
      <c r="J37" s="26">
        <v>17</v>
      </c>
      <c r="K37" s="27">
        <v>0.1827</v>
      </c>
      <c r="L37" s="27">
        <v>0.4647</v>
      </c>
      <c r="M37" s="27">
        <v>3.3487</v>
      </c>
      <c r="N37" s="243">
        <v>3.7400000000000003E-2</v>
      </c>
      <c r="O37" s="210">
        <v>26</v>
      </c>
      <c r="P37" s="27">
        <v>0.13222999999999999</v>
      </c>
      <c r="Q37" s="27">
        <v>0.39360000000000001</v>
      </c>
      <c r="R37" s="27">
        <v>2.6488</v>
      </c>
      <c r="S37" s="27">
        <v>2.81E-2</v>
      </c>
      <c r="T37" s="29">
        <v>26</v>
      </c>
      <c r="U37" s="27">
        <v>0.13222999999999999</v>
      </c>
      <c r="V37" s="27">
        <v>0.39360000000000001</v>
      </c>
      <c r="W37" s="27">
        <v>2.6488</v>
      </c>
      <c r="X37" s="243">
        <v>2.81E-2</v>
      </c>
      <c r="Y37" s="210">
        <v>24</v>
      </c>
      <c r="Z37" s="27">
        <v>0.1406</v>
      </c>
      <c r="AA37" s="27">
        <v>0.40560000000000002</v>
      </c>
      <c r="AB37" s="27">
        <v>2.7639999999999998</v>
      </c>
      <c r="AC37" s="27">
        <v>2.98E-2</v>
      </c>
      <c r="AD37" s="29">
        <v>24</v>
      </c>
      <c r="AE37" s="27">
        <v>0.1406</v>
      </c>
      <c r="AF37" s="27">
        <v>0.40560000000000002</v>
      </c>
      <c r="AG37" s="27">
        <v>2.7639999999999998</v>
      </c>
      <c r="AH37" s="243">
        <v>2.98E-2</v>
      </c>
      <c r="AI37" s="261">
        <f t="shared" si="0"/>
        <v>8.9412677812074459E-2</v>
      </c>
      <c r="AJ37" s="262">
        <f t="shared" si="1"/>
        <v>0.11718381431684069</v>
      </c>
      <c r="AK37" s="262">
        <f t="shared" si="2"/>
        <v>0.71200152369000003</v>
      </c>
      <c r="AL37" s="263">
        <f t="shared" si="3"/>
        <v>1.4880484357694056E-2</v>
      </c>
    </row>
    <row r="38" spans="1:38" x14ac:dyDescent="0.25">
      <c r="A38" s="256">
        <v>377</v>
      </c>
      <c r="B38" s="16" t="s">
        <v>26</v>
      </c>
      <c r="C38" s="24">
        <v>37776</v>
      </c>
      <c r="D38" s="255">
        <v>0.2</v>
      </c>
      <c r="E38" s="250">
        <v>25</v>
      </c>
      <c r="F38" s="27">
        <v>0.1356</v>
      </c>
      <c r="G38" s="27">
        <v>0.39829999999999999</v>
      </c>
      <c r="H38" s="27">
        <v>2.6698</v>
      </c>
      <c r="I38" s="27">
        <v>2.8899999999999999E-2</v>
      </c>
      <c r="J38" s="26">
        <v>32</v>
      </c>
      <c r="K38" s="27">
        <v>0.1132</v>
      </c>
      <c r="L38" s="27">
        <v>0.36530000000000001</v>
      </c>
      <c r="M38" s="27">
        <v>2.4796999999999998</v>
      </c>
      <c r="N38" s="243">
        <v>2.3400000000000001E-2</v>
      </c>
      <c r="O38" s="210">
        <v>29</v>
      </c>
      <c r="P38" s="27">
        <v>0.12239999999999999</v>
      </c>
      <c r="Q38" s="27">
        <v>0.37930000000000003</v>
      </c>
      <c r="R38" s="27">
        <v>2.5859000000000001</v>
      </c>
      <c r="S38" s="27">
        <v>2.58E-2</v>
      </c>
      <c r="T38" s="29">
        <v>30</v>
      </c>
      <c r="U38" s="27">
        <v>0.1192</v>
      </c>
      <c r="V38" s="27">
        <v>0.3745</v>
      </c>
      <c r="W38" s="27">
        <v>2.5649999999999999</v>
      </c>
      <c r="X38" s="243">
        <v>2.5000000000000001E-2</v>
      </c>
      <c r="Y38" s="210">
        <v>7</v>
      </c>
      <c r="Z38" s="27">
        <v>0.38940000000000002</v>
      </c>
      <c r="AA38" s="27">
        <v>0.73560000000000003</v>
      </c>
      <c r="AB38" s="27">
        <v>4.843</v>
      </c>
      <c r="AC38" s="27">
        <v>7.1800000000000003E-2</v>
      </c>
      <c r="AD38" s="29">
        <v>8</v>
      </c>
      <c r="AE38" s="29">
        <v>0.34799999999999998</v>
      </c>
      <c r="AF38" s="29">
        <v>0.67959999999999998</v>
      </c>
      <c r="AG38" s="29">
        <v>4.5465999999999998</v>
      </c>
      <c r="AH38" s="209">
        <v>6.4899999999999999E-2</v>
      </c>
      <c r="AI38" s="261">
        <f t="shared" si="0"/>
        <v>3.4348552482977773E-2</v>
      </c>
      <c r="AJ38" s="262">
        <f t="shared" si="1"/>
        <v>4.8243192882433103E-2</v>
      </c>
      <c r="AK38" s="262">
        <f t="shared" si="2"/>
        <v>0.27957035424000043</v>
      </c>
      <c r="AL38" s="263">
        <f t="shared" si="3"/>
        <v>6.8221432591920091E-3</v>
      </c>
    </row>
    <row r="39" spans="1:38" x14ac:dyDescent="0.25">
      <c r="A39" s="256">
        <v>377</v>
      </c>
      <c r="B39" s="16" t="s">
        <v>27</v>
      </c>
      <c r="C39" s="24">
        <v>38158</v>
      </c>
      <c r="D39" s="255">
        <v>0.2</v>
      </c>
      <c r="E39" s="250">
        <v>29</v>
      </c>
      <c r="F39" s="27">
        <v>0.12239999999999999</v>
      </c>
      <c r="G39" s="27">
        <v>0.37930000000000003</v>
      </c>
      <c r="H39" s="27">
        <v>2.5859000000000001</v>
      </c>
      <c r="I39" s="27">
        <v>2.58E-2</v>
      </c>
      <c r="J39" s="26">
        <v>34</v>
      </c>
      <c r="K39" s="27">
        <v>0.10730000000000001</v>
      </c>
      <c r="L39" s="27">
        <v>0.35599999999999998</v>
      </c>
      <c r="M39" s="27">
        <v>2.3944000000000001</v>
      </c>
      <c r="N39" s="243">
        <v>2.18E-2</v>
      </c>
      <c r="O39" s="210">
        <v>36</v>
      </c>
      <c r="P39" s="27">
        <v>0.1021</v>
      </c>
      <c r="Q39" s="27">
        <v>0.3503</v>
      </c>
      <c r="R39" s="27">
        <v>2.3176999999999999</v>
      </c>
      <c r="S39" s="27">
        <v>2.06E-2</v>
      </c>
      <c r="T39" s="29">
        <v>38</v>
      </c>
      <c r="U39" s="27">
        <v>9.7799999999999998E-2</v>
      </c>
      <c r="V39" s="27">
        <v>0.34810000000000002</v>
      </c>
      <c r="W39" s="27">
        <v>2.2496999999999998</v>
      </c>
      <c r="X39" s="243">
        <v>1.9599999999999999E-2</v>
      </c>
      <c r="Y39" s="210">
        <v>3</v>
      </c>
      <c r="Z39" s="29">
        <v>0.81037999999999999</v>
      </c>
      <c r="AA39" s="29">
        <v>1.3542000000000001</v>
      </c>
      <c r="AB39" s="29">
        <v>7.90848</v>
      </c>
      <c r="AC39" s="29">
        <v>0.14330000000000001</v>
      </c>
      <c r="AD39" s="29">
        <v>4</v>
      </c>
      <c r="AE39" s="27">
        <v>0.68359999999999999</v>
      </c>
      <c r="AF39" s="27">
        <v>1.16415</v>
      </c>
      <c r="AG39" s="27">
        <v>6.9811500000000004</v>
      </c>
      <c r="AH39" s="243">
        <v>0.1217</v>
      </c>
      <c r="AI39" s="261">
        <f t="shared" si="0"/>
        <v>7.6917659685882891E-2</v>
      </c>
      <c r="AJ39" s="262">
        <f t="shared" si="1"/>
        <v>0.10857639790285976</v>
      </c>
      <c r="AK39" s="262">
        <f t="shared" si="2"/>
        <v>0.71975691579399992</v>
      </c>
      <c r="AL39" s="263">
        <f t="shared" si="3"/>
        <v>1.4085723449841133E-2</v>
      </c>
    </row>
    <row r="40" spans="1:38" x14ac:dyDescent="0.25">
      <c r="A40" s="256">
        <v>457</v>
      </c>
      <c r="B40" s="16" t="s">
        <v>26</v>
      </c>
      <c r="C40" s="24">
        <v>46261</v>
      </c>
      <c r="D40" s="255">
        <v>0.01</v>
      </c>
      <c r="E40" s="250">
        <v>9</v>
      </c>
      <c r="F40" s="27">
        <v>0.30659999999999998</v>
      </c>
      <c r="G40" s="27">
        <v>0.62370000000000003</v>
      </c>
      <c r="H40" s="27">
        <v>4.2503000000000002</v>
      </c>
      <c r="I40" s="27">
        <v>5.8000000000000003E-2</v>
      </c>
      <c r="J40" s="26">
        <v>12</v>
      </c>
      <c r="K40" s="27">
        <v>0.23799999999999999</v>
      </c>
      <c r="L40" s="27">
        <v>0.53449999999999998</v>
      </c>
      <c r="M40" s="27">
        <v>3.7673000000000001</v>
      </c>
      <c r="N40" s="243">
        <v>4.6600000000000003E-2</v>
      </c>
      <c r="O40" s="210">
        <v>4</v>
      </c>
      <c r="P40" s="27">
        <v>0.68359999999999999</v>
      </c>
      <c r="Q40" s="27">
        <v>1.16415</v>
      </c>
      <c r="R40" s="27">
        <v>6.9811500000000004</v>
      </c>
      <c r="S40" s="27">
        <v>0.1217</v>
      </c>
      <c r="T40" s="29">
        <v>5</v>
      </c>
      <c r="U40" s="29">
        <v>0.4723</v>
      </c>
      <c r="V40" s="29">
        <v>0.84740000000000004</v>
      </c>
      <c r="W40" s="29">
        <v>5.4356</v>
      </c>
      <c r="X40" s="209">
        <v>8.5699999999999998E-2</v>
      </c>
      <c r="Y40" s="210">
        <v>4</v>
      </c>
      <c r="Z40" s="27">
        <v>0.68359999999999999</v>
      </c>
      <c r="AA40" s="27">
        <v>1.16415</v>
      </c>
      <c r="AB40" s="27">
        <v>6.9811500000000004</v>
      </c>
      <c r="AC40" s="27">
        <v>0.1217</v>
      </c>
      <c r="AD40" s="29">
        <v>5</v>
      </c>
      <c r="AE40" s="29">
        <v>0.4723</v>
      </c>
      <c r="AF40" s="29">
        <v>0.84740000000000004</v>
      </c>
      <c r="AG40" s="29">
        <v>5.4356</v>
      </c>
      <c r="AH40" s="209">
        <v>8.5699999999999998E-2</v>
      </c>
      <c r="AI40" s="261">
        <f t="shared" si="0"/>
        <v>2.9109645003858375E-2</v>
      </c>
      <c r="AJ40" s="262">
        <f t="shared" si="1"/>
        <v>4.332338975158874E-2</v>
      </c>
      <c r="AK40" s="262">
        <f t="shared" si="2"/>
        <v>0.23405805571887506</v>
      </c>
      <c r="AL40" s="263">
        <f t="shared" si="3"/>
        <v>4.9529088710848854E-3</v>
      </c>
    </row>
    <row r="41" spans="1:38" x14ac:dyDescent="0.25">
      <c r="A41" s="256">
        <v>457</v>
      </c>
      <c r="B41" s="16" t="s">
        <v>27</v>
      </c>
      <c r="C41" s="25">
        <v>5002</v>
      </c>
      <c r="D41" s="255">
        <v>0.1</v>
      </c>
      <c r="E41" s="250">
        <v>21</v>
      </c>
      <c r="F41" s="27">
        <v>0.15590000000000001</v>
      </c>
      <c r="G41" s="27">
        <v>0.4274</v>
      </c>
      <c r="H41" s="27">
        <v>3.0467</v>
      </c>
      <c r="I41" s="27">
        <v>3.27E-2</v>
      </c>
      <c r="J41" s="26">
        <v>24</v>
      </c>
      <c r="K41" s="27">
        <v>0.1406</v>
      </c>
      <c r="L41" s="27">
        <v>0.40560000000000002</v>
      </c>
      <c r="M41" s="27">
        <v>2.7639999999999998</v>
      </c>
      <c r="N41" s="243">
        <v>2.98E-2</v>
      </c>
      <c r="O41" s="210">
        <v>33</v>
      </c>
      <c r="P41" s="29">
        <v>0.1103</v>
      </c>
      <c r="Q41" s="29">
        <v>0.36059999999999998</v>
      </c>
      <c r="R41" s="29">
        <v>2.4369999999999998</v>
      </c>
      <c r="S41" s="29">
        <v>2.2599999999999999E-2</v>
      </c>
      <c r="T41" s="29">
        <v>33</v>
      </c>
      <c r="U41" s="27">
        <v>0.1103</v>
      </c>
      <c r="V41" s="27">
        <v>0.36059999999999998</v>
      </c>
      <c r="W41" s="27">
        <v>2.4369999999999998</v>
      </c>
      <c r="X41" s="243">
        <v>2.2599999999999999E-2</v>
      </c>
      <c r="Y41" s="210">
        <v>23</v>
      </c>
      <c r="Z41" s="27">
        <v>0.1457</v>
      </c>
      <c r="AA41" s="27">
        <v>0.4128</v>
      </c>
      <c r="AB41" s="27">
        <v>2.8582000000000001</v>
      </c>
      <c r="AC41" s="27">
        <v>3.0800000000000001E-2</v>
      </c>
      <c r="AD41" s="29">
        <v>24</v>
      </c>
      <c r="AE41" s="27">
        <v>0.1406</v>
      </c>
      <c r="AF41" s="27">
        <v>0.40560000000000002</v>
      </c>
      <c r="AG41" s="27">
        <v>2.7639999999999998</v>
      </c>
      <c r="AH41" s="243">
        <v>2.98E-2</v>
      </c>
      <c r="AI41" s="261">
        <f t="shared" si="0"/>
        <v>5.4945936904221516E-4</v>
      </c>
      <c r="AJ41" s="262">
        <f t="shared" si="1"/>
        <v>7.8067982750794286E-4</v>
      </c>
      <c r="AK41" s="262">
        <f t="shared" si="2"/>
        <v>1.1181683385000018E-2</v>
      </c>
      <c r="AL41" s="263">
        <f t="shared" si="3"/>
        <v>1.052508896958693E-4</v>
      </c>
    </row>
    <row r="42" spans="1:38" x14ac:dyDescent="0.25">
      <c r="A42" s="256">
        <v>458</v>
      </c>
      <c r="B42" s="16" t="s">
        <v>26</v>
      </c>
      <c r="C42" s="25">
        <v>7889</v>
      </c>
      <c r="D42" s="255">
        <v>0.1</v>
      </c>
      <c r="E42" s="250">
        <v>37</v>
      </c>
      <c r="F42" s="27">
        <v>0.1</v>
      </c>
      <c r="G42" s="27">
        <v>0.34920000000000001</v>
      </c>
      <c r="H42" s="27">
        <v>2.2837000000000001</v>
      </c>
      <c r="I42" s="27">
        <v>2.01E-2</v>
      </c>
      <c r="J42" s="26">
        <v>39</v>
      </c>
      <c r="K42" s="27">
        <v>9.5600000000000004E-2</v>
      </c>
      <c r="L42" s="27">
        <v>0.34699999999999998</v>
      </c>
      <c r="M42" s="27">
        <v>2.2157</v>
      </c>
      <c r="N42" s="243">
        <v>1.9099999999999999E-2</v>
      </c>
      <c r="O42" s="210">
        <v>29</v>
      </c>
      <c r="P42" s="27">
        <v>0.12239999999999999</v>
      </c>
      <c r="Q42" s="27">
        <v>0.37930000000000003</v>
      </c>
      <c r="R42" s="27">
        <v>2.5859000000000001</v>
      </c>
      <c r="S42" s="27">
        <v>2.58E-2</v>
      </c>
      <c r="T42" s="29">
        <v>28</v>
      </c>
      <c r="U42" s="27">
        <v>0.12570000000000001</v>
      </c>
      <c r="V42" s="27">
        <v>0.3841</v>
      </c>
      <c r="W42" s="27">
        <v>2.6069</v>
      </c>
      <c r="X42" s="243">
        <v>2.6499999999999999E-2</v>
      </c>
      <c r="Y42" s="210">
        <v>26</v>
      </c>
      <c r="Z42" s="27">
        <v>0.13222999999999999</v>
      </c>
      <c r="AA42" s="27">
        <v>0.39360000000000001</v>
      </c>
      <c r="AB42" s="27">
        <v>2.6488</v>
      </c>
      <c r="AC42" s="27">
        <v>2.81E-2</v>
      </c>
      <c r="AD42" s="29">
        <v>25</v>
      </c>
      <c r="AE42" s="27">
        <v>0.1356</v>
      </c>
      <c r="AF42" s="27">
        <v>0.39829999999999999</v>
      </c>
      <c r="AG42" s="27">
        <v>2.6698</v>
      </c>
      <c r="AH42" s="243">
        <v>2.8899999999999999E-2</v>
      </c>
      <c r="AI42" s="261">
        <f t="shared" si="0"/>
        <v>-5.6439474489332982E-4</v>
      </c>
      <c r="AJ42" s="262">
        <f t="shared" si="1"/>
        <v>-9.7507753517929387E-4</v>
      </c>
      <c r="AK42" s="262">
        <f t="shared" si="2"/>
        <v>-2.2028060249999755E-3</v>
      </c>
      <c r="AL42" s="263">
        <f t="shared" si="3"/>
        <v>-1.2155792328642739E-4</v>
      </c>
    </row>
    <row r="43" spans="1:38" x14ac:dyDescent="0.25">
      <c r="A43" s="256">
        <v>458</v>
      </c>
      <c r="B43" s="16" t="s">
        <v>27</v>
      </c>
      <c r="C43" s="24">
        <v>43978</v>
      </c>
      <c r="D43" s="255">
        <v>0.3</v>
      </c>
      <c r="E43" s="250">
        <v>17</v>
      </c>
      <c r="F43" s="27">
        <v>0.1827</v>
      </c>
      <c r="G43" s="27">
        <v>0.4647</v>
      </c>
      <c r="H43" s="27">
        <v>3.3487</v>
      </c>
      <c r="I43" s="27">
        <v>3.7400000000000003E-2</v>
      </c>
      <c r="J43" s="26">
        <v>28</v>
      </c>
      <c r="K43" s="27">
        <v>0.12570000000000001</v>
      </c>
      <c r="L43" s="27">
        <v>0.3841</v>
      </c>
      <c r="M43" s="27">
        <v>2.6069</v>
      </c>
      <c r="N43" s="243">
        <v>2.6499999999999999E-2</v>
      </c>
      <c r="O43" s="210">
        <v>28</v>
      </c>
      <c r="P43" s="27">
        <v>0.12570000000000001</v>
      </c>
      <c r="Q43" s="27">
        <v>0.3841</v>
      </c>
      <c r="R43" s="27">
        <v>2.6069</v>
      </c>
      <c r="S43" s="27">
        <v>2.6499999999999999E-2</v>
      </c>
      <c r="T43" s="29">
        <v>29</v>
      </c>
      <c r="U43" s="27">
        <v>0.12239999999999999</v>
      </c>
      <c r="V43" s="27">
        <v>0.37930000000000003</v>
      </c>
      <c r="W43" s="27">
        <v>2.5859000000000001</v>
      </c>
      <c r="X43" s="243">
        <v>2.58E-2</v>
      </c>
      <c r="Y43" s="210">
        <v>11</v>
      </c>
      <c r="Z43" s="29">
        <v>0.25159999999999999</v>
      </c>
      <c r="AA43" s="29">
        <v>0.55110000000000003</v>
      </c>
      <c r="AB43" s="29">
        <v>3.8605999999999998</v>
      </c>
      <c r="AC43" s="29">
        <v>4.8800000000000003E-2</v>
      </c>
      <c r="AD43" s="29">
        <v>13</v>
      </c>
      <c r="AE43" s="27">
        <v>0.22439999999999999</v>
      </c>
      <c r="AF43" s="27">
        <v>0.51800000000000002</v>
      </c>
      <c r="AG43" s="27">
        <v>3.6739000000000002</v>
      </c>
      <c r="AH43" s="243">
        <v>4.4400000000000002E-2</v>
      </c>
      <c r="AI43" s="261">
        <f t="shared" si="0"/>
        <v>7.0539773749432613E-2</v>
      </c>
      <c r="AJ43" s="262">
        <f t="shared" si="1"/>
        <v>9.5437450322287717E-2</v>
      </c>
      <c r="AK43" s="262">
        <f t="shared" si="2"/>
        <v>0.78137779565999932</v>
      </c>
      <c r="AL43" s="263">
        <f t="shared" si="3"/>
        <v>1.298438971402633E-2</v>
      </c>
    </row>
    <row r="44" spans="1:38" x14ac:dyDescent="0.25">
      <c r="A44" s="256">
        <v>530</v>
      </c>
      <c r="B44" s="16" t="s">
        <v>26</v>
      </c>
      <c r="C44" s="24">
        <v>32896</v>
      </c>
      <c r="D44" s="255">
        <v>0.2</v>
      </c>
      <c r="E44" s="250">
        <v>23</v>
      </c>
      <c r="F44" s="27">
        <v>0.1457</v>
      </c>
      <c r="G44" s="27">
        <v>0.4128</v>
      </c>
      <c r="H44" s="27">
        <v>2.8582000000000001</v>
      </c>
      <c r="I44" s="27">
        <v>3.0800000000000001E-2</v>
      </c>
      <c r="J44" s="26">
        <v>40</v>
      </c>
      <c r="K44" s="27">
        <v>9.3399999999999997E-2</v>
      </c>
      <c r="L44" s="27">
        <v>0.34589999999999999</v>
      </c>
      <c r="M44" s="27">
        <v>2.1817000000000002</v>
      </c>
      <c r="N44" s="243">
        <v>1.8599999999999998E-2</v>
      </c>
      <c r="O44" s="210">
        <v>29</v>
      </c>
      <c r="P44" s="27">
        <v>0.12239999999999999</v>
      </c>
      <c r="Q44" s="27">
        <v>0.37930000000000003</v>
      </c>
      <c r="R44" s="27">
        <v>2.5859000000000001</v>
      </c>
      <c r="S44" s="27">
        <v>2.58E-2</v>
      </c>
      <c r="T44" s="29">
        <v>38</v>
      </c>
      <c r="U44" s="27">
        <v>9.7799999999999998E-2</v>
      </c>
      <c r="V44" s="27">
        <v>0.34810000000000002</v>
      </c>
      <c r="W44" s="27">
        <v>2.2496999999999998</v>
      </c>
      <c r="X44" s="243">
        <v>1.9599999999999999E-2</v>
      </c>
      <c r="Y44" s="210">
        <v>24</v>
      </c>
      <c r="Z44" s="27">
        <v>0.1406</v>
      </c>
      <c r="AA44" s="27">
        <v>0.40560000000000002</v>
      </c>
      <c r="AB44" s="27">
        <v>2.7639999999999998</v>
      </c>
      <c r="AC44" s="27">
        <v>2.98E-2</v>
      </c>
      <c r="AD44" s="29">
        <v>27</v>
      </c>
      <c r="AE44" s="27">
        <v>0.129</v>
      </c>
      <c r="AF44" s="27">
        <v>0.38879999999999998</v>
      </c>
      <c r="AG44" s="27">
        <v>2.6278999999999999</v>
      </c>
      <c r="AH44" s="243">
        <v>2.7300000000000001E-2</v>
      </c>
      <c r="AI44" s="261">
        <f t="shared" si="0"/>
        <v>5.7021176795279162E-2</v>
      </c>
      <c r="AJ44" s="262">
        <f t="shared" si="1"/>
        <v>7.3415718928733567E-2</v>
      </c>
      <c r="AK44" s="262">
        <f t="shared" si="2"/>
        <v>0.83382889280000039</v>
      </c>
      <c r="AL44" s="263">
        <f t="shared" si="3"/>
        <v>1.3865596804357698E-2</v>
      </c>
    </row>
    <row r="45" spans="1:38" x14ac:dyDescent="0.25">
      <c r="A45" s="256">
        <v>530</v>
      </c>
      <c r="B45" s="16" t="s">
        <v>27</v>
      </c>
      <c r="C45" s="24">
        <v>18872</v>
      </c>
      <c r="D45" s="255">
        <v>0.6</v>
      </c>
      <c r="E45" s="250">
        <v>38</v>
      </c>
      <c r="F45" s="27">
        <v>9.7799999999999998E-2</v>
      </c>
      <c r="G45" s="27">
        <v>0.34810000000000002</v>
      </c>
      <c r="H45" s="27">
        <v>2.2496999999999998</v>
      </c>
      <c r="I45" s="27">
        <v>1.9599999999999999E-2</v>
      </c>
      <c r="J45" s="26">
        <v>47</v>
      </c>
      <c r="K45" s="27">
        <v>8.3000000000000004E-2</v>
      </c>
      <c r="L45" s="27">
        <v>0.34339999999999998</v>
      </c>
      <c r="M45" s="27">
        <v>2.0674999999999999</v>
      </c>
      <c r="N45" s="243">
        <v>1.6199999999999999E-2</v>
      </c>
      <c r="O45" s="210">
        <v>43</v>
      </c>
      <c r="P45" s="27">
        <v>8.8599999999999998E-2</v>
      </c>
      <c r="Q45" s="27">
        <v>0.34420000000000001</v>
      </c>
      <c r="R45" s="27">
        <v>2.1206</v>
      </c>
      <c r="S45" s="27">
        <v>1.7500000000000002E-2</v>
      </c>
      <c r="T45" s="29">
        <v>46</v>
      </c>
      <c r="U45" s="27">
        <v>8.4199999999999997E-2</v>
      </c>
      <c r="V45" s="27">
        <v>0.34320000000000001</v>
      </c>
      <c r="W45" s="27">
        <v>2.0737000000000001</v>
      </c>
      <c r="X45" s="243">
        <v>1.6500000000000001E-2</v>
      </c>
      <c r="Y45" s="210">
        <v>2</v>
      </c>
      <c r="Z45" s="29">
        <v>2.2372999999999998</v>
      </c>
      <c r="AA45" s="29">
        <v>3.7023000000000001</v>
      </c>
      <c r="AB45" s="29">
        <v>21.316700000000001</v>
      </c>
      <c r="AC45" s="29">
        <v>0.39410000000000001</v>
      </c>
      <c r="AD45" s="29">
        <v>4</v>
      </c>
      <c r="AE45" s="27">
        <v>0.68359999999999999</v>
      </c>
      <c r="AF45" s="27">
        <v>1.16415</v>
      </c>
      <c r="AG45" s="27">
        <v>6.9811500000000004</v>
      </c>
      <c r="AH45" s="243">
        <v>0.1217</v>
      </c>
      <c r="AI45" s="261">
        <f t="shared" si="0"/>
        <v>1.184996780535633</v>
      </c>
      <c r="AJ45" s="262">
        <f t="shared" si="1"/>
        <v>1.9097764116931453</v>
      </c>
      <c r="AK45" s="262">
        <f t="shared" si="2"/>
        <v>12.088621427400001</v>
      </c>
      <c r="AL45" s="263">
        <f t="shared" si="3"/>
        <v>0.20876835181116654</v>
      </c>
    </row>
    <row r="46" spans="1:38" x14ac:dyDescent="0.25">
      <c r="A46" s="256">
        <v>564</v>
      </c>
      <c r="B46" s="16" t="s">
        <v>26</v>
      </c>
      <c r="C46" s="25">
        <v>2046</v>
      </c>
      <c r="D46" s="255">
        <v>0.1</v>
      </c>
      <c r="E46" s="250">
        <v>37</v>
      </c>
      <c r="F46" s="27">
        <v>0.1</v>
      </c>
      <c r="G46" s="27">
        <v>0.34920000000000001</v>
      </c>
      <c r="H46" s="27">
        <v>2.2837000000000001</v>
      </c>
      <c r="I46" s="27">
        <v>2.01E-2</v>
      </c>
      <c r="J46" s="26">
        <v>37</v>
      </c>
      <c r="K46" s="27">
        <v>0.1</v>
      </c>
      <c r="L46" s="27">
        <v>0.34920000000000001</v>
      </c>
      <c r="M46" s="27">
        <v>2.2837000000000001</v>
      </c>
      <c r="N46" s="243">
        <v>2.01E-2</v>
      </c>
      <c r="O46" s="210">
        <v>46</v>
      </c>
      <c r="P46" s="29">
        <v>8.4199999999999997E-2</v>
      </c>
      <c r="Q46" s="29">
        <v>0.34320000000000001</v>
      </c>
      <c r="R46" s="29">
        <v>2.0737000000000001</v>
      </c>
      <c r="S46" s="29">
        <v>1.6500000000000001E-2</v>
      </c>
      <c r="T46" s="29">
        <v>46</v>
      </c>
      <c r="U46" s="27">
        <v>8.4199999999999997E-2</v>
      </c>
      <c r="V46" s="27">
        <v>0.34320000000000001</v>
      </c>
      <c r="W46" s="27">
        <v>2.0737000000000001</v>
      </c>
      <c r="X46" s="243">
        <v>1.6500000000000001E-2</v>
      </c>
      <c r="Y46" s="210">
        <v>31</v>
      </c>
      <c r="Z46" s="27">
        <v>0.1162</v>
      </c>
      <c r="AA46" s="27">
        <v>0.36990000000000001</v>
      </c>
      <c r="AB46" s="27">
        <v>2.5223</v>
      </c>
      <c r="AC46" s="27">
        <v>2.4199999999999999E-2</v>
      </c>
      <c r="AD46" s="29">
        <v>21</v>
      </c>
      <c r="AE46" s="29">
        <v>0.15590000000000001</v>
      </c>
      <c r="AF46" s="29">
        <v>0.4274</v>
      </c>
      <c r="AG46" s="29">
        <v>3.0467</v>
      </c>
      <c r="AH46" s="209">
        <v>3.27E-2</v>
      </c>
      <c r="AI46" s="261">
        <f t="shared" si="0"/>
        <v>-5.3831253744893355E-4</v>
      </c>
      <c r="AJ46" s="262">
        <f t="shared" si="1"/>
        <v>-7.7967181116659105E-4</v>
      </c>
      <c r="AK46" s="262">
        <f t="shared" si="2"/>
        <v>-7.8323335200000017E-3</v>
      </c>
      <c r="AL46" s="263">
        <f t="shared" si="3"/>
        <v>-1.1525583295506131E-4</v>
      </c>
    </row>
    <row r="47" spans="1:38" x14ac:dyDescent="0.25">
      <c r="A47" s="256">
        <v>564</v>
      </c>
      <c r="B47" s="16" t="s">
        <v>27</v>
      </c>
      <c r="C47" s="24">
        <v>26591</v>
      </c>
      <c r="D47" s="255">
        <v>0.01</v>
      </c>
      <c r="E47" s="250">
        <v>10</v>
      </c>
      <c r="F47" s="27">
        <v>0.2651</v>
      </c>
      <c r="G47" s="27">
        <v>0.56769999999999998</v>
      </c>
      <c r="H47" s="27">
        <v>3.9540000000000002</v>
      </c>
      <c r="I47" s="27">
        <v>5.11E-2</v>
      </c>
      <c r="J47" s="26">
        <v>28</v>
      </c>
      <c r="K47" s="27">
        <v>0.12570000000000001</v>
      </c>
      <c r="L47" s="27">
        <v>0.3841</v>
      </c>
      <c r="M47" s="27">
        <v>2.6069</v>
      </c>
      <c r="N47" s="243">
        <v>2.6499999999999999E-2</v>
      </c>
      <c r="O47" s="210">
        <v>14</v>
      </c>
      <c r="P47" s="29">
        <v>0.21079999999999999</v>
      </c>
      <c r="Q47" s="29">
        <v>0.50139999999999996</v>
      </c>
      <c r="R47" s="29">
        <v>3.5804999999999998</v>
      </c>
      <c r="S47" s="29">
        <v>4.2099999999999999E-2</v>
      </c>
      <c r="T47" s="29">
        <v>32</v>
      </c>
      <c r="U47" s="29">
        <v>0.1132</v>
      </c>
      <c r="V47" s="29">
        <v>0.36530000000000001</v>
      </c>
      <c r="W47" s="29">
        <v>2.4796999999999998</v>
      </c>
      <c r="X47" s="209">
        <v>2.3400000000000001E-2</v>
      </c>
      <c r="Y47" s="210">
        <v>10</v>
      </c>
      <c r="Z47" s="29">
        <v>0.2651</v>
      </c>
      <c r="AA47" s="29">
        <v>0.56769999999999998</v>
      </c>
      <c r="AB47" s="29">
        <v>3.9540000000000002</v>
      </c>
      <c r="AC47" s="29">
        <v>5.11E-2</v>
      </c>
      <c r="AD47" s="29">
        <v>23</v>
      </c>
      <c r="AE47" s="27">
        <v>0.1457</v>
      </c>
      <c r="AF47" s="27">
        <v>0.4128</v>
      </c>
      <c r="AG47" s="27">
        <v>2.8582000000000001</v>
      </c>
      <c r="AH47" s="243">
        <v>3.0800000000000001E-2</v>
      </c>
      <c r="AI47" s="261">
        <f t="shared" si="0"/>
        <v>9.5365368538356809E-3</v>
      </c>
      <c r="AJ47" s="262">
        <f t="shared" si="1"/>
        <v>1.2951380111438943E-2</v>
      </c>
      <c r="AK47" s="262">
        <f t="shared" si="2"/>
        <v>0.11032922997675003</v>
      </c>
      <c r="AL47" s="263">
        <f t="shared" si="3"/>
        <v>1.7539015621879255E-3</v>
      </c>
    </row>
    <row r="48" spans="1:38" x14ac:dyDescent="0.25">
      <c r="A48" s="256">
        <v>572</v>
      </c>
      <c r="B48" s="16" t="s">
        <v>26</v>
      </c>
      <c r="C48" s="24">
        <v>48682</v>
      </c>
      <c r="D48" s="255">
        <v>0.1</v>
      </c>
      <c r="E48" s="250">
        <v>13</v>
      </c>
      <c r="F48" s="27">
        <v>0.22439999999999999</v>
      </c>
      <c r="G48" s="27">
        <v>0.51800000000000002</v>
      </c>
      <c r="H48" s="27">
        <v>3.6739000000000002</v>
      </c>
      <c r="I48" s="27">
        <v>4.4400000000000002E-2</v>
      </c>
      <c r="J48" s="26">
        <v>16</v>
      </c>
      <c r="K48" s="27">
        <v>0.18990000000000001</v>
      </c>
      <c r="L48" s="27">
        <v>0.4748</v>
      </c>
      <c r="M48" s="27">
        <v>3.4178999999999999</v>
      </c>
      <c r="N48" s="243">
        <v>3.8600000000000002E-2</v>
      </c>
      <c r="O48" s="210">
        <v>5</v>
      </c>
      <c r="P48" s="29">
        <v>0.4723</v>
      </c>
      <c r="Q48" s="29">
        <v>0.84740000000000004</v>
      </c>
      <c r="R48" s="29">
        <v>5.4356</v>
      </c>
      <c r="S48" s="29">
        <v>8.5699999999999998E-2</v>
      </c>
      <c r="T48" s="29">
        <v>9</v>
      </c>
      <c r="U48" s="27">
        <v>0.30659999999999998</v>
      </c>
      <c r="V48" s="27">
        <v>0.62370000000000003</v>
      </c>
      <c r="W48" s="27">
        <v>4.2503000000000002</v>
      </c>
      <c r="X48" s="243">
        <v>5.8000000000000003E-2</v>
      </c>
      <c r="Y48" s="210">
        <v>6</v>
      </c>
      <c r="Z48" s="29">
        <v>0.43080000000000002</v>
      </c>
      <c r="AA48" s="29">
        <v>0.79149999999999998</v>
      </c>
      <c r="AB48" s="29">
        <v>5.1393000000000004</v>
      </c>
      <c r="AC48" s="29">
        <v>7.8799999999999995E-2</v>
      </c>
      <c r="AD48" s="29">
        <v>8</v>
      </c>
      <c r="AE48" s="29">
        <v>0.34799999999999998</v>
      </c>
      <c r="AF48" s="29">
        <v>0.67959999999999998</v>
      </c>
      <c r="AG48" s="29">
        <v>4.5465999999999998</v>
      </c>
      <c r="AH48" s="209">
        <v>6.4899999999999999E-2</v>
      </c>
      <c r="AI48" s="261">
        <f t="shared" si="0"/>
        <v>0.20880710841579667</v>
      </c>
      <c r="AJ48" s="262">
        <f t="shared" si="1"/>
        <v>0.28111689391284617</v>
      </c>
      <c r="AK48" s="262">
        <f t="shared" si="2"/>
        <v>1.6478639148050001</v>
      </c>
      <c r="AL48" s="263">
        <f t="shared" si="3"/>
        <v>3.4932925932818874E-2</v>
      </c>
    </row>
    <row r="49" spans="1:38" x14ac:dyDescent="0.25">
      <c r="A49" s="256">
        <v>572</v>
      </c>
      <c r="B49" s="16" t="s">
        <v>27</v>
      </c>
      <c r="C49" s="25">
        <v>1534</v>
      </c>
      <c r="D49" s="255">
        <v>0.2</v>
      </c>
      <c r="E49" s="250">
        <v>33</v>
      </c>
      <c r="F49" s="27">
        <v>0.1103</v>
      </c>
      <c r="G49" s="27">
        <v>0.36059999999999998</v>
      </c>
      <c r="H49" s="27">
        <v>2.4369999999999998</v>
      </c>
      <c r="I49" s="27">
        <v>2.2599999999999999E-2</v>
      </c>
      <c r="J49" s="26">
        <v>10</v>
      </c>
      <c r="K49" s="27">
        <v>0.2651</v>
      </c>
      <c r="L49" s="27">
        <v>0.56769999999999998</v>
      </c>
      <c r="M49" s="27">
        <v>3.6539999999999999</v>
      </c>
      <c r="N49" s="243">
        <v>5.11E-2</v>
      </c>
      <c r="O49" s="210">
        <v>42</v>
      </c>
      <c r="P49" s="27">
        <v>9.0200000000000002E-2</v>
      </c>
      <c r="Q49" s="27">
        <v>0.34470000000000001</v>
      </c>
      <c r="R49" s="27">
        <v>2.141</v>
      </c>
      <c r="S49" s="27">
        <v>1.7899999999999999E-2</v>
      </c>
      <c r="T49" s="29">
        <v>38</v>
      </c>
      <c r="U49" s="27">
        <v>9.7799999999999998E-2</v>
      </c>
      <c r="V49" s="27">
        <v>0.34810000000000002</v>
      </c>
      <c r="W49" s="27">
        <v>2.2496999999999998</v>
      </c>
      <c r="X49" s="243">
        <v>1.9599999999999999E-2</v>
      </c>
      <c r="Y49" s="210">
        <v>36</v>
      </c>
      <c r="Z49" s="27">
        <v>0.1021</v>
      </c>
      <c r="AA49" s="27">
        <v>0.3503</v>
      </c>
      <c r="AB49" s="27">
        <v>2.3176999999999999</v>
      </c>
      <c r="AC49" s="27">
        <v>2.06E-2</v>
      </c>
      <c r="AD49" s="29">
        <v>8</v>
      </c>
      <c r="AE49" s="29">
        <v>0.34799999999999998</v>
      </c>
      <c r="AF49" s="29">
        <v>0.67959999999999998</v>
      </c>
      <c r="AG49" s="29">
        <v>4.5465999999999998</v>
      </c>
      <c r="AH49" s="209">
        <v>6.4899999999999999E-2</v>
      </c>
      <c r="AI49" s="261">
        <f t="shared" si="0"/>
        <v>-7.8626308488424865E-3</v>
      </c>
      <c r="AJ49" s="262">
        <f t="shared" si="1"/>
        <v>-1.0078380000000001E-2</v>
      </c>
      <c r="AK49" s="262">
        <f t="shared" si="2"/>
        <v>-7.8273738270000004E-2</v>
      </c>
      <c r="AL49" s="263">
        <f t="shared" si="3"/>
        <v>-1.4476837766681802E-3</v>
      </c>
    </row>
    <row r="50" spans="1:38" x14ac:dyDescent="0.25">
      <c r="A50" s="256">
        <v>573</v>
      </c>
      <c r="B50" s="16" t="s">
        <v>26</v>
      </c>
      <c r="C50" s="25">
        <v>2056</v>
      </c>
      <c r="D50" s="255">
        <v>0.2</v>
      </c>
      <c r="E50" s="250">
        <v>30</v>
      </c>
      <c r="F50" s="27">
        <v>0.1192</v>
      </c>
      <c r="G50" s="27">
        <v>0.3745</v>
      </c>
      <c r="H50" s="27">
        <v>2.5649999999999999</v>
      </c>
      <c r="I50" s="27">
        <v>2.5000000000000001E-2</v>
      </c>
      <c r="J50" s="26">
        <v>34</v>
      </c>
      <c r="K50" s="27">
        <v>0.10730000000000001</v>
      </c>
      <c r="L50" s="27">
        <v>0.35599999999999998</v>
      </c>
      <c r="M50" s="27">
        <v>2.3944000000000001</v>
      </c>
      <c r="N50" s="243">
        <v>2.18E-2</v>
      </c>
      <c r="O50" s="210">
        <v>8</v>
      </c>
      <c r="P50" s="27">
        <v>0.34799999999999998</v>
      </c>
      <c r="Q50" s="27">
        <v>0.67959999999999998</v>
      </c>
      <c r="R50" s="27">
        <v>4.5465999999999998</v>
      </c>
      <c r="S50" s="27">
        <v>6.4899999999999999E-2</v>
      </c>
      <c r="T50" s="29">
        <v>12</v>
      </c>
      <c r="U50" s="27">
        <v>0.23799999999999999</v>
      </c>
      <c r="V50" s="27">
        <v>0.53449999999999998</v>
      </c>
      <c r="W50" s="27">
        <v>3.7673000000000001</v>
      </c>
      <c r="X50" s="243">
        <v>4.6600000000000003E-2</v>
      </c>
      <c r="Y50" s="210">
        <v>5</v>
      </c>
      <c r="Z50" s="29">
        <v>0.4723</v>
      </c>
      <c r="AA50" s="29">
        <v>0.84740000000000004</v>
      </c>
      <c r="AB50" s="29">
        <v>5.4356</v>
      </c>
      <c r="AC50" s="29">
        <v>8.5699999999999998E-2</v>
      </c>
      <c r="AD50" s="29">
        <v>9</v>
      </c>
      <c r="AE50" s="27">
        <v>0.30659999999999998</v>
      </c>
      <c r="AF50" s="27">
        <v>0.62370000000000003</v>
      </c>
      <c r="AG50" s="27">
        <v>4.2503000000000002</v>
      </c>
      <c r="AH50" s="243">
        <v>5.8000000000000003E-2</v>
      </c>
      <c r="AI50" s="261">
        <f t="shared" si="0"/>
        <v>1.4501239582387655E-2</v>
      </c>
      <c r="AJ50" s="262">
        <f t="shared" si="1"/>
        <v>1.9325448061734002E-2</v>
      </c>
      <c r="AK50" s="262">
        <f t="shared" si="2"/>
        <v>0.11544693915999998</v>
      </c>
      <c r="AL50" s="263">
        <f t="shared" si="3"/>
        <v>2.4410590285973669E-3</v>
      </c>
    </row>
    <row r="51" spans="1:38" x14ac:dyDescent="0.25">
      <c r="A51" s="256">
        <v>573</v>
      </c>
      <c r="B51" s="16" t="s">
        <v>27</v>
      </c>
      <c r="C51" s="25">
        <v>46996</v>
      </c>
      <c r="D51" s="255">
        <v>0.1</v>
      </c>
      <c r="E51" s="250">
        <v>23</v>
      </c>
      <c r="F51" s="27">
        <v>0.1457</v>
      </c>
      <c r="G51" s="27">
        <v>0.4128</v>
      </c>
      <c r="H51" s="27">
        <v>2.8582000000000001</v>
      </c>
      <c r="I51" s="27">
        <v>3.0800000000000001E-2</v>
      </c>
      <c r="J51" s="26">
        <v>13</v>
      </c>
      <c r="K51" s="27">
        <v>0.22439999999999999</v>
      </c>
      <c r="L51" s="27">
        <v>0.51800000000000002</v>
      </c>
      <c r="M51" s="27">
        <v>3.6739000000000002</v>
      </c>
      <c r="N51" s="243">
        <v>4.4400000000000002E-2</v>
      </c>
      <c r="O51" s="210">
        <v>36</v>
      </c>
      <c r="P51" s="27">
        <v>0.1021</v>
      </c>
      <c r="Q51" s="27">
        <v>0.3503</v>
      </c>
      <c r="R51" s="27">
        <v>2.3176999999999999</v>
      </c>
      <c r="S51" s="27">
        <v>2.06E-2</v>
      </c>
      <c r="T51" s="29">
        <v>36</v>
      </c>
      <c r="U51" s="27">
        <v>0.1021</v>
      </c>
      <c r="V51" s="27">
        <v>0.3503</v>
      </c>
      <c r="W51" s="27">
        <v>2.3176999999999999</v>
      </c>
      <c r="X51" s="243">
        <v>2.06E-2</v>
      </c>
      <c r="Y51" s="210">
        <v>27</v>
      </c>
      <c r="Z51" s="27">
        <v>0.129</v>
      </c>
      <c r="AA51" s="27">
        <v>0.38879999999999998</v>
      </c>
      <c r="AB51" s="27">
        <v>2.6278999999999999</v>
      </c>
      <c r="AC51" s="27">
        <v>2.7300000000000001E-2</v>
      </c>
      <c r="AD51" s="29">
        <v>10</v>
      </c>
      <c r="AE51" s="29">
        <v>0.2651</v>
      </c>
      <c r="AF51" s="29">
        <v>0.56769999999999998</v>
      </c>
      <c r="AG51" s="29">
        <v>3.9540000000000002</v>
      </c>
      <c r="AH51" s="209">
        <v>5.11E-2</v>
      </c>
      <c r="AI51" s="261">
        <f t="shared" si="0"/>
        <v>-6.0773209123921923E-2</v>
      </c>
      <c r="AJ51" s="262">
        <f t="shared" si="1"/>
        <v>-8.0293828633681341E-2</v>
      </c>
      <c r="AK51" s="262">
        <f t="shared" si="2"/>
        <v>-0.66482832655000013</v>
      </c>
      <c r="AL51" s="263">
        <f t="shared" si="3"/>
        <v>-1.0589566227871085E-2</v>
      </c>
    </row>
    <row r="52" spans="1:38" x14ac:dyDescent="0.25">
      <c r="A52" s="256">
        <v>574</v>
      </c>
      <c r="B52" s="16" t="s">
        <v>26</v>
      </c>
      <c r="C52" s="25">
        <v>43926</v>
      </c>
      <c r="D52" s="255">
        <v>0.1</v>
      </c>
      <c r="E52" s="250">
        <v>43</v>
      </c>
      <c r="F52" s="27">
        <v>8.8599999999999998E-2</v>
      </c>
      <c r="G52" s="27">
        <v>0.34420000000000001</v>
      </c>
      <c r="H52" s="27">
        <v>2.1206</v>
      </c>
      <c r="I52" s="27">
        <v>1.7500000000000002E-2</v>
      </c>
      <c r="J52" s="26">
        <v>42</v>
      </c>
      <c r="K52" s="27">
        <v>9.0200000000000002E-2</v>
      </c>
      <c r="L52" s="27">
        <v>0.34470000000000001</v>
      </c>
      <c r="M52" s="27">
        <v>2.141</v>
      </c>
      <c r="N52" s="243">
        <v>1.7899999999999999E-2</v>
      </c>
      <c r="O52" s="210">
        <v>38</v>
      </c>
      <c r="P52" s="27">
        <v>9.7799999999999998E-2</v>
      </c>
      <c r="Q52" s="27">
        <v>0.34810000000000002</v>
      </c>
      <c r="R52" s="27">
        <v>2.2496999999999998</v>
      </c>
      <c r="S52" s="27">
        <v>1.9599999999999999E-2</v>
      </c>
      <c r="T52" s="29">
        <v>36</v>
      </c>
      <c r="U52" s="27">
        <v>0.1021</v>
      </c>
      <c r="V52" s="27">
        <v>0.3503</v>
      </c>
      <c r="W52" s="27">
        <v>2.3176999999999999</v>
      </c>
      <c r="X52" s="243">
        <v>2.06E-2</v>
      </c>
      <c r="Y52" s="210">
        <v>32</v>
      </c>
      <c r="Z52" s="29">
        <v>0.1132</v>
      </c>
      <c r="AA52" s="29">
        <v>0.36530000000000001</v>
      </c>
      <c r="AB52" s="29">
        <v>2.4796999999999998</v>
      </c>
      <c r="AC52" s="29">
        <v>2.3400000000000001E-2</v>
      </c>
      <c r="AD52" s="29">
        <v>32</v>
      </c>
      <c r="AE52" s="29">
        <v>0.1132</v>
      </c>
      <c r="AF52" s="29">
        <v>0.36530000000000001</v>
      </c>
      <c r="AG52" s="29">
        <v>2.4796999999999998</v>
      </c>
      <c r="AH52" s="209">
        <v>2.3400000000000001E-2</v>
      </c>
      <c r="AI52" s="261">
        <f t="shared" si="0"/>
        <v>-4.4176236631865637E-3</v>
      </c>
      <c r="AJ52" s="262">
        <f t="shared" si="1"/>
        <v>-2.1906173354516384E-3</v>
      </c>
      <c r="AK52" s="262">
        <f t="shared" si="2"/>
        <v>-7.5771910740000073E-2</v>
      </c>
      <c r="AL52" s="263">
        <f t="shared" si="3"/>
        <v>-1.0334473808443038E-3</v>
      </c>
    </row>
    <row r="53" spans="1:38" x14ac:dyDescent="0.25">
      <c r="A53" s="256">
        <v>574</v>
      </c>
      <c r="B53" s="16" t="s">
        <v>27</v>
      </c>
      <c r="C53" s="24">
        <v>41082</v>
      </c>
      <c r="D53" s="255">
        <v>0.7</v>
      </c>
      <c r="E53" s="250">
        <v>36</v>
      </c>
      <c r="F53" s="27">
        <v>0.1021</v>
      </c>
      <c r="G53" s="27">
        <v>0.3503</v>
      </c>
      <c r="H53" s="27">
        <v>2.3176999999999999</v>
      </c>
      <c r="I53" s="27">
        <v>2.06E-2</v>
      </c>
      <c r="J53" s="26">
        <v>39</v>
      </c>
      <c r="K53" s="27">
        <v>9.5600000000000004E-2</v>
      </c>
      <c r="L53" s="27">
        <v>0.34699999999999998</v>
      </c>
      <c r="M53" s="27">
        <v>2.2157</v>
      </c>
      <c r="N53" s="243">
        <v>1.9099999999999999E-2</v>
      </c>
      <c r="O53" s="210">
        <v>37</v>
      </c>
      <c r="P53" s="27">
        <v>0.1</v>
      </c>
      <c r="Q53" s="27">
        <v>0.34920000000000001</v>
      </c>
      <c r="R53" s="27">
        <v>2.2837000000000001</v>
      </c>
      <c r="S53" s="27">
        <v>2.01E-2</v>
      </c>
      <c r="T53" s="29">
        <v>40</v>
      </c>
      <c r="U53" s="27">
        <v>9.3399999999999997E-2</v>
      </c>
      <c r="V53" s="27">
        <v>0.34589999999999999</v>
      </c>
      <c r="W53" s="27">
        <v>2.1817000000000002</v>
      </c>
      <c r="X53" s="243">
        <v>1.8599999999999998E-2</v>
      </c>
      <c r="Y53" s="210">
        <v>38</v>
      </c>
      <c r="Z53" s="27">
        <v>9.7799999999999998E-2</v>
      </c>
      <c r="AA53" s="27">
        <v>0.34810000000000002</v>
      </c>
      <c r="AB53" s="27">
        <v>2.2496999999999998</v>
      </c>
      <c r="AC53" s="27">
        <v>1.9599999999999999E-2</v>
      </c>
      <c r="AD53" s="29">
        <v>37</v>
      </c>
      <c r="AE53" s="27">
        <v>0.1</v>
      </c>
      <c r="AF53" s="27">
        <v>0.34920000000000001</v>
      </c>
      <c r="AG53" s="27">
        <v>2.2837000000000001</v>
      </c>
      <c r="AH53" s="243">
        <v>2.01E-2</v>
      </c>
      <c r="AI53" s="261">
        <f t="shared" si="0"/>
        <v>4.5978552950522035E-2</v>
      </c>
      <c r="AJ53" s="262">
        <f t="shared" si="1"/>
        <v>2.3060745728552181E-2</v>
      </c>
      <c r="AK53" s="262">
        <f t="shared" si="2"/>
        <v>0.78513453479999817</v>
      </c>
      <c r="AL53" s="263">
        <f t="shared" si="3"/>
        <v>1.0482157149341816E-2</v>
      </c>
    </row>
    <row r="54" spans="1:38" x14ac:dyDescent="0.25">
      <c r="A54" s="256">
        <v>590</v>
      </c>
      <c r="B54" s="16" t="s">
        <v>26</v>
      </c>
      <c r="C54" s="25">
        <v>39661</v>
      </c>
      <c r="D54" s="255">
        <v>0.3</v>
      </c>
      <c r="E54" s="250">
        <v>44</v>
      </c>
      <c r="F54" s="27">
        <v>8.6999999999999994E-2</v>
      </c>
      <c r="G54" s="27">
        <v>0.34360000000000002</v>
      </c>
      <c r="H54" s="27">
        <v>2.1002999999999998</v>
      </c>
      <c r="I54" s="27">
        <v>1.72E-2</v>
      </c>
      <c r="J54" s="26">
        <v>46</v>
      </c>
      <c r="K54" s="27">
        <v>8.4199999999999997E-2</v>
      </c>
      <c r="L54" s="27">
        <v>0.34320000000000001</v>
      </c>
      <c r="M54" s="27">
        <v>2.0737000000000001</v>
      </c>
      <c r="N54" s="243">
        <v>1.6500000000000001E-2</v>
      </c>
      <c r="O54" s="210">
        <v>44</v>
      </c>
      <c r="P54" s="27">
        <v>8.6999999999999994E-2</v>
      </c>
      <c r="Q54" s="27">
        <v>0.34360000000000002</v>
      </c>
      <c r="R54" s="27">
        <v>2.1002999999999998</v>
      </c>
      <c r="S54" s="27">
        <v>1.72E-2</v>
      </c>
      <c r="T54" s="29">
        <v>46</v>
      </c>
      <c r="U54" s="27">
        <v>8.4199999999999997E-2</v>
      </c>
      <c r="V54" s="27">
        <v>0.34320000000000001</v>
      </c>
      <c r="W54" s="27">
        <v>2.0737000000000001</v>
      </c>
      <c r="X54" s="243">
        <v>1.6500000000000001E-2</v>
      </c>
      <c r="Y54" s="210">
        <v>44</v>
      </c>
      <c r="Z54" s="27">
        <v>8.6999999999999994E-2</v>
      </c>
      <c r="AA54" s="27">
        <v>0.34360000000000002</v>
      </c>
      <c r="AB54" s="27">
        <v>2.1002999999999998</v>
      </c>
      <c r="AC54" s="27">
        <v>1.72E-2</v>
      </c>
      <c r="AD54" s="29">
        <v>44</v>
      </c>
      <c r="AE54" s="27">
        <v>8.6999999999999994E-2</v>
      </c>
      <c r="AF54" s="27">
        <v>0.34360000000000002</v>
      </c>
      <c r="AG54" s="27">
        <v>2.1002999999999998</v>
      </c>
      <c r="AH54" s="243">
        <v>1.72E-2</v>
      </c>
      <c r="AI54" s="261">
        <f t="shared" si="0"/>
        <v>8.8316387471629506E-3</v>
      </c>
      <c r="AJ54" s="262">
        <f t="shared" si="1"/>
        <v>1.2616626781661732E-3</v>
      </c>
      <c r="AK54" s="262">
        <f t="shared" si="2"/>
        <v>9.2416475759999075E-2</v>
      </c>
      <c r="AL54" s="263">
        <f t="shared" si="3"/>
        <v>2.2079096867907376E-3</v>
      </c>
    </row>
    <row r="55" spans="1:38" x14ac:dyDescent="0.25">
      <c r="A55" s="256">
        <v>590</v>
      </c>
      <c r="B55" s="16" t="s">
        <v>27</v>
      </c>
      <c r="C55" s="25">
        <v>41136</v>
      </c>
      <c r="D55" s="255">
        <v>0.3</v>
      </c>
      <c r="E55" s="250">
        <v>44</v>
      </c>
      <c r="F55" s="27">
        <v>8.6999999999999994E-2</v>
      </c>
      <c r="G55" s="27">
        <v>0.34360000000000002</v>
      </c>
      <c r="H55" s="27">
        <v>2.1002999999999998</v>
      </c>
      <c r="I55" s="27">
        <v>1.72E-2</v>
      </c>
      <c r="J55" s="26">
        <v>45</v>
      </c>
      <c r="K55" s="27">
        <v>8.5400000000000004E-2</v>
      </c>
      <c r="L55" s="27">
        <v>0.34310000000000002</v>
      </c>
      <c r="M55" s="27">
        <v>2.0798999999999999</v>
      </c>
      <c r="N55" s="243">
        <v>1.6799999999999999E-2</v>
      </c>
      <c r="O55" s="210">
        <v>45</v>
      </c>
      <c r="P55" s="27">
        <v>8.5400000000000004E-2</v>
      </c>
      <c r="Q55" s="27">
        <v>0.34310000000000002</v>
      </c>
      <c r="R55" s="27">
        <v>2.0798999999999999</v>
      </c>
      <c r="S55" s="27">
        <v>1.6799999999999999E-2</v>
      </c>
      <c r="T55" s="29">
        <v>45</v>
      </c>
      <c r="U55" s="27">
        <v>8.5400000000000004E-2</v>
      </c>
      <c r="V55" s="27">
        <v>0.34310000000000002</v>
      </c>
      <c r="W55" s="27">
        <v>2.0798999999999999</v>
      </c>
      <c r="X55" s="243">
        <v>1.6799999999999999E-2</v>
      </c>
      <c r="Y55" s="210">
        <v>46</v>
      </c>
      <c r="Z55" s="27">
        <v>8.4199999999999997E-2</v>
      </c>
      <c r="AA55" s="27">
        <v>0.34320000000000001</v>
      </c>
      <c r="AB55" s="27">
        <v>2.0737000000000001</v>
      </c>
      <c r="AC55" s="27">
        <v>1.6500000000000001E-2</v>
      </c>
      <c r="AD55" s="29">
        <v>46</v>
      </c>
      <c r="AE55" s="27">
        <v>8.4199999999999997E-2</v>
      </c>
      <c r="AF55" s="27">
        <v>0.34320000000000001</v>
      </c>
      <c r="AG55" s="27">
        <v>2.0737000000000001</v>
      </c>
      <c r="AH55" s="243">
        <v>1.6500000000000001E-2</v>
      </c>
      <c r="AI55" s="261">
        <f t="shared" si="0"/>
        <v>9.8143811166590401E-4</v>
      </c>
      <c r="AJ55" s="262">
        <f t="shared" si="1"/>
        <v>3.0669940989559719E-4</v>
      </c>
      <c r="AK55" s="262">
        <f t="shared" si="2"/>
        <v>1.378343951999998E-2</v>
      </c>
      <c r="AL55" s="263">
        <f t="shared" si="3"/>
        <v>2.4535952791647817E-4</v>
      </c>
    </row>
    <row r="56" spans="1:38" x14ac:dyDescent="0.25">
      <c r="A56" s="256">
        <v>591</v>
      </c>
      <c r="B56" s="16" t="s">
        <v>26</v>
      </c>
      <c r="C56" s="25">
        <v>39661</v>
      </c>
      <c r="D56" s="255">
        <v>0.3</v>
      </c>
      <c r="E56" s="250">
        <v>44</v>
      </c>
      <c r="F56" s="27">
        <v>8.6999999999999994E-2</v>
      </c>
      <c r="G56" s="27">
        <v>0.34360000000000002</v>
      </c>
      <c r="H56" s="27">
        <v>2.1002999999999998</v>
      </c>
      <c r="I56" s="27">
        <v>1.72E-2</v>
      </c>
      <c r="J56" s="26">
        <v>45</v>
      </c>
      <c r="K56" s="27">
        <v>8.5400000000000004E-2</v>
      </c>
      <c r="L56" s="27">
        <v>0.34310000000000002</v>
      </c>
      <c r="M56" s="27">
        <v>2.0798999999999999</v>
      </c>
      <c r="N56" s="243">
        <v>1.6799999999999999E-2</v>
      </c>
      <c r="O56" s="210">
        <v>42</v>
      </c>
      <c r="P56" s="27">
        <v>9.0200000000000002E-2</v>
      </c>
      <c r="Q56" s="27">
        <v>0.34470000000000001</v>
      </c>
      <c r="R56" s="27">
        <v>2.141</v>
      </c>
      <c r="S56" s="27">
        <v>1.7899999999999999E-2</v>
      </c>
      <c r="T56" s="29">
        <v>44</v>
      </c>
      <c r="U56" s="27">
        <v>8.6999999999999994E-2</v>
      </c>
      <c r="V56" s="27">
        <v>0.34360000000000002</v>
      </c>
      <c r="W56" s="27">
        <v>2.1002999999999998</v>
      </c>
      <c r="X56" s="243">
        <v>1.72E-2</v>
      </c>
      <c r="Y56" s="210">
        <v>30</v>
      </c>
      <c r="Z56" s="29">
        <v>0.1192</v>
      </c>
      <c r="AA56" s="29">
        <v>0.3745</v>
      </c>
      <c r="AB56" s="29">
        <v>2.5649999999999999</v>
      </c>
      <c r="AC56" s="29">
        <v>2.5000000000000001E-2</v>
      </c>
      <c r="AD56" s="29">
        <v>38</v>
      </c>
      <c r="AE56" s="27">
        <v>9.7799999999999998E-2</v>
      </c>
      <c r="AF56" s="27">
        <v>0.34810000000000002</v>
      </c>
      <c r="AG56" s="27">
        <v>2.2496999999999998</v>
      </c>
      <c r="AH56" s="243">
        <v>1.9599999999999999E-2</v>
      </c>
      <c r="AI56" s="261">
        <f t="shared" si="0"/>
        <v>2.6021792737176593E-2</v>
      </c>
      <c r="AJ56" s="262">
        <f t="shared" si="1"/>
        <v>2.393216392646387E-2</v>
      </c>
      <c r="AK56" s="262">
        <f t="shared" si="2"/>
        <v>0.40204206971250056</v>
      </c>
      <c r="AL56" s="263">
        <f t="shared" si="3"/>
        <v>6.28859991148434E-3</v>
      </c>
    </row>
    <row r="57" spans="1:38" x14ac:dyDescent="0.25">
      <c r="A57" s="256">
        <v>591</v>
      </c>
      <c r="B57" s="16" t="s">
        <v>27</v>
      </c>
      <c r="C57" s="25">
        <v>41136</v>
      </c>
      <c r="D57" s="255">
        <v>0.1</v>
      </c>
      <c r="E57" s="250">
        <v>41</v>
      </c>
      <c r="F57" s="27">
        <v>9.1800000000000007E-2</v>
      </c>
      <c r="G57" s="27">
        <v>0.3453</v>
      </c>
      <c r="H57" s="27">
        <v>2.1613000000000002</v>
      </c>
      <c r="I57" s="27">
        <v>1.83E-2</v>
      </c>
      <c r="J57" s="26">
        <v>43</v>
      </c>
      <c r="K57" s="27">
        <v>8.8599999999999998E-2</v>
      </c>
      <c r="L57" s="27">
        <v>0.34420000000000001</v>
      </c>
      <c r="M57" s="27">
        <v>2.1206</v>
      </c>
      <c r="N57" s="243">
        <v>1.7500000000000002E-2</v>
      </c>
      <c r="O57" s="210">
        <v>41</v>
      </c>
      <c r="P57" s="27">
        <v>9.1800000000000007E-2</v>
      </c>
      <c r="Q57" s="27">
        <v>0.3453</v>
      </c>
      <c r="R57" s="27">
        <v>2.1613000000000002</v>
      </c>
      <c r="S57" s="27">
        <v>1.83E-2</v>
      </c>
      <c r="T57" s="29">
        <v>44</v>
      </c>
      <c r="U57" s="27">
        <v>8.6999999999999994E-2</v>
      </c>
      <c r="V57" s="27">
        <v>0.34360000000000002</v>
      </c>
      <c r="W57" s="27">
        <v>2.1002999999999998</v>
      </c>
      <c r="X57" s="243">
        <v>1.72E-2</v>
      </c>
      <c r="Y57" s="210">
        <v>43</v>
      </c>
      <c r="Z57" s="27">
        <v>8.8599999999999998E-2</v>
      </c>
      <c r="AA57" s="27">
        <v>0.34420000000000001</v>
      </c>
      <c r="AB57" s="27">
        <v>2.1206</v>
      </c>
      <c r="AC57" s="27">
        <v>1.7500000000000002E-2</v>
      </c>
      <c r="AD57" s="29">
        <v>45</v>
      </c>
      <c r="AE57" s="27">
        <v>8.5400000000000004E-2</v>
      </c>
      <c r="AF57" s="27">
        <v>0.34310000000000002</v>
      </c>
      <c r="AG57" s="27">
        <v>2.0798999999999999</v>
      </c>
      <c r="AH57" s="243">
        <v>1.6799999999999999E-2</v>
      </c>
      <c r="AI57" s="261">
        <f t="shared" si="0"/>
        <v>5.7795799909214829E-3</v>
      </c>
      <c r="AJ57" s="262">
        <f t="shared" si="1"/>
        <v>2.0310316477530413E-3</v>
      </c>
      <c r="AK57" s="262">
        <f t="shared" si="2"/>
        <v>8.0921402280000485E-2</v>
      </c>
      <c r="AL57" s="263">
        <f t="shared" si="3"/>
        <v>1.3290307762142543E-3</v>
      </c>
    </row>
    <row r="58" spans="1:38" x14ac:dyDescent="0.25">
      <c r="A58" s="256">
        <v>594</v>
      </c>
      <c r="B58" s="16" t="s">
        <v>26</v>
      </c>
      <c r="C58" s="25">
        <v>16451</v>
      </c>
      <c r="D58" s="255">
        <v>0.6</v>
      </c>
      <c r="E58" s="250">
        <v>43</v>
      </c>
      <c r="F58" s="27">
        <v>8.8599999999999998E-2</v>
      </c>
      <c r="G58" s="27">
        <v>0.34420000000000001</v>
      </c>
      <c r="H58" s="27">
        <v>2.1206</v>
      </c>
      <c r="I58" s="27">
        <v>1.7500000000000002E-2</v>
      </c>
      <c r="J58" s="26">
        <v>45</v>
      </c>
      <c r="K58" s="27">
        <v>8.5400000000000004E-2</v>
      </c>
      <c r="L58" s="27">
        <v>0.34310000000000002</v>
      </c>
      <c r="M58" s="27">
        <v>2.0798999999999999</v>
      </c>
      <c r="N58" s="243">
        <v>1.6799999999999999E-2</v>
      </c>
      <c r="O58" s="210">
        <v>49</v>
      </c>
      <c r="P58" s="27">
        <v>8.0699999999999994E-2</v>
      </c>
      <c r="Q58" s="27">
        <v>0.34370000000000001</v>
      </c>
      <c r="R58" s="27">
        <v>2.0550000000000002</v>
      </c>
      <c r="S58" s="27">
        <v>1.5599999999999999E-2</v>
      </c>
      <c r="T58" s="29">
        <v>51</v>
      </c>
      <c r="U58" s="27">
        <v>7.8700000000000006E-2</v>
      </c>
      <c r="V58" s="27">
        <v>0.34420000000000001</v>
      </c>
      <c r="W58" s="27">
        <v>2.0508999999999999</v>
      </c>
      <c r="X58" s="243">
        <v>1.4999999999999999E-2</v>
      </c>
      <c r="Y58" s="210">
        <v>44</v>
      </c>
      <c r="Z58" s="27">
        <v>8.6999999999999994E-2</v>
      </c>
      <c r="AA58" s="27">
        <v>0.34360000000000002</v>
      </c>
      <c r="AB58" s="27">
        <v>2.1002999999999998</v>
      </c>
      <c r="AC58" s="27">
        <v>1.72E-2</v>
      </c>
      <c r="AD58" s="29">
        <v>48</v>
      </c>
      <c r="AE58" s="27">
        <v>8.1900000000000001E-2</v>
      </c>
      <c r="AF58" s="27">
        <v>0.34350000000000003</v>
      </c>
      <c r="AG58" s="27">
        <v>2.0611999999999999</v>
      </c>
      <c r="AH58" s="243">
        <v>1.5900000000000001E-2</v>
      </c>
      <c r="AI58" s="261">
        <f t="shared" si="0"/>
        <v>9.1581962778029633E-3</v>
      </c>
      <c r="AJ58" s="262">
        <f t="shared" si="1"/>
        <v>-4.5790981389016305E-4</v>
      </c>
      <c r="AK58" s="262">
        <f t="shared" si="2"/>
        <v>5.9769937710000526E-2</v>
      </c>
      <c r="AL58" s="263">
        <f t="shared" si="3"/>
        <v>2.4694422106218798E-3</v>
      </c>
    </row>
    <row r="59" spans="1:38" x14ac:dyDescent="0.25">
      <c r="A59" s="256">
        <v>594</v>
      </c>
      <c r="B59" s="16" t="s">
        <v>27</v>
      </c>
      <c r="C59" s="25">
        <v>20089</v>
      </c>
      <c r="D59" s="255">
        <v>0.9</v>
      </c>
      <c r="E59" s="250">
        <v>44</v>
      </c>
      <c r="F59" s="27">
        <v>8.6999999999999994E-2</v>
      </c>
      <c r="G59" s="27">
        <v>0.34360000000000002</v>
      </c>
      <c r="H59" s="27">
        <v>2.1002999999999998</v>
      </c>
      <c r="I59" s="27">
        <v>1.72E-2</v>
      </c>
      <c r="J59" s="26">
        <v>47</v>
      </c>
      <c r="K59" s="27">
        <v>8.3000000000000004E-2</v>
      </c>
      <c r="L59" s="27">
        <v>0.34339999999999998</v>
      </c>
      <c r="M59" s="27">
        <v>2.0674999999999999</v>
      </c>
      <c r="N59" s="243">
        <v>1.6199999999999999E-2</v>
      </c>
      <c r="O59" s="210">
        <v>46</v>
      </c>
      <c r="P59" s="29">
        <v>8.4199999999999997E-2</v>
      </c>
      <c r="Q59" s="29">
        <v>0.34320000000000001</v>
      </c>
      <c r="R59" s="29">
        <v>2.0737000000000001</v>
      </c>
      <c r="S59" s="29">
        <v>1.6500000000000001E-2</v>
      </c>
      <c r="T59" s="29">
        <v>48</v>
      </c>
      <c r="U59" s="27">
        <v>8.1900000000000001E-2</v>
      </c>
      <c r="V59" s="27">
        <v>0.34350000000000003</v>
      </c>
      <c r="W59" s="27">
        <v>2.0611999999999999</v>
      </c>
      <c r="X59" s="243">
        <v>1.5900000000000001E-2</v>
      </c>
      <c r="Y59" s="210">
        <v>11</v>
      </c>
      <c r="Z59" s="29">
        <v>0.25159999999999999</v>
      </c>
      <c r="AA59" s="29">
        <v>0.55110000000000003</v>
      </c>
      <c r="AB59" s="29">
        <v>3.8605999999999998</v>
      </c>
      <c r="AC59" s="29">
        <v>4.8800000000000003E-2</v>
      </c>
      <c r="AD59" s="29">
        <v>45</v>
      </c>
      <c r="AE59" s="27">
        <v>8.5400000000000004E-2</v>
      </c>
      <c r="AF59" s="27">
        <v>0.34310000000000002</v>
      </c>
      <c r="AG59" s="27">
        <v>2.0798999999999999</v>
      </c>
      <c r="AH59" s="243">
        <v>1.6799999999999999E-2</v>
      </c>
      <c r="AI59" s="261">
        <f t="shared" si="0"/>
        <v>0.21169679684748069</v>
      </c>
      <c r="AJ59" s="262">
        <f t="shared" si="1"/>
        <v>0.24824272753290966</v>
      </c>
      <c r="AK59" s="262">
        <f t="shared" si="2"/>
        <v>2.4363391272525008</v>
      </c>
      <c r="AL59" s="263">
        <f t="shared" si="3"/>
        <v>4.1578485074897878E-2</v>
      </c>
    </row>
    <row r="60" spans="1:38" x14ac:dyDescent="0.25">
      <c r="A60" s="256">
        <v>722</v>
      </c>
      <c r="B60" s="16" t="s">
        <v>26</v>
      </c>
      <c r="C60" s="25">
        <v>39059</v>
      </c>
      <c r="D60" s="255">
        <v>0.7</v>
      </c>
      <c r="E60" s="250">
        <v>38</v>
      </c>
      <c r="F60" s="27">
        <v>9.7799999999999998E-2</v>
      </c>
      <c r="G60" s="27">
        <v>0.34810000000000002</v>
      </c>
      <c r="H60" s="27">
        <v>2.2496999999999998</v>
      </c>
      <c r="I60" s="27">
        <v>1.9599999999999999E-2</v>
      </c>
      <c r="J60" s="26">
        <v>47</v>
      </c>
      <c r="K60" s="27">
        <v>8.3000000000000004E-2</v>
      </c>
      <c r="L60" s="27">
        <v>0.34339999999999998</v>
      </c>
      <c r="M60" s="27">
        <v>2.0674999999999999</v>
      </c>
      <c r="N60" s="243">
        <v>1.6199999999999999E-2</v>
      </c>
      <c r="O60" s="210">
        <v>34</v>
      </c>
      <c r="P60" s="27">
        <v>0.10730000000000001</v>
      </c>
      <c r="Q60" s="27">
        <v>0.35599999999999998</v>
      </c>
      <c r="R60" s="27">
        <v>2.3944000000000001</v>
      </c>
      <c r="S60" s="27">
        <v>2.18E-2</v>
      </c>
      <c r="T60" s="29">
        <v>40</v>
      </c>
      <c r="U60" s="27">
        <v>9.3399999999999997E-2</v>
      </c>
      <c r="V60" s="27">
        <v>0.34589999999999999</v>
      </c>
      <c r="W60" s="27">
        <v>2.1817000000000002</v>
      </c>
      <c r="X60" s="243">
        <v>1.8599999999999998E-2</v>
      </c>
      <c r="Y60" s="210">
        <v>33</v>
      </c>
      <c r="Z60" s="27">
        <v>0.1103</v>
      </c>
      <c r="AA60" s="27">
        <v>0.36059999999999998</v>
      </c>
      <c r="AB60" s="27">
        <v>2.4369999999999998</v>
      </c>
      <c r="AC60" s="27">
        <v>2.2599999999999999E-2</v>
      </c>
      <c r="AD60" s="29">
        <v>41</v>
      </c>
      <c r="AE60" s="27">
        <v>9.1800000000000007E-2</v>
      </c>
      <c r="AF60" s="27">
        <v>0.3453</v>
      </c>
      <c r="AG60" s="27">
        <v>2.1613000000000002</v>
      </c>
      <c r="AH60" s="243">
        <v>1.83E-2</v>
      </c>
      <c r="AI60" s="261">
        <f t="shared" si="0"/>
        <v>0.13549208955742173</v>
      </c>
      <c r="AJ60" s="262">
        <f t="shared" si="1"/>
        <v>9.3589654639128467E-2</v>
      </c>
      <c r="AK60" s="262">
        <f t="shared" si="2"/>
        <v>2.2027415815124987</v>
      </c>
      <c r="AL60" s="263">
        <f t="shared" si="3"/>
        <v>3.1256951452564685E-2</v>
      </c>
    </row>
    <row r="61" spans="1:38" x14ac:dyDescent="0.25">
      <c r="A61" s="256">
        <v>722</v>
      </c>
      <c r="B61" s="16" t="s">
        <v>27</v>
      </c>
      <c r="C61" s="25">
        <v>43514</v>
      </c>
      <c r="D61" s="255">
        <v>0.1</v>
      </c>
      <c r="E61" s="250">
        <v>25</v>
      </c>
      <c r="F61" s="27">
        <v>0.1356</v>
      </c>
      <c r="G61" s="27">
        <v>0.39829999999999999</v>
      </c>
      <c r="H61" s="27">
        <v>2.6698</v>
      </c>
      <c r="I61" s="27">
        <v>2.8899999999999999E-2</v>
      </c>
      <c r="J61" s="26">
        <v>30</v>
      </c>
      <c r="K61" s="27">
        <v>0.1192</v>
      </c>
      <c r="L61" s="27">
        <v>0.3745</v>
      </c>
      <c r="M61" s="27">
        <v>2.5649999999999999</v>
      </c>
      <c r="N61" s="243">
        <v>2.5000000000000001E-2</v>
      </c>
      <c r="O61" s="210">
        <v>37</v>
      </c>
      <c r="P61" s="27">
        <v>0.1</v>
      </c>
      <c r="Q61" s="27">
        <v>0.34920000000000001</v>
      </c>
      <c r="R61" s="27">
        <v>2.2837000000000001</v>
      </c>
      <c r="S61" s="27">
        <v>2.01E-2</v>
      </c>
      <c r="T61" s="29">
        <v>37</v>
      </c>
      <c r="U61" s="27">
        <v>0.1</v>
      </c>
      <c r="V61" s="27">
        <v>0.34920000000000001</v>
      </c>
      <c r="W61" s="27">
        <v>2.2837000000000001</v>
      </c>
      <c r="X61" s="243">
        <v>2.01E-2</v>
      </c>
      <c r="Y61" s="210">
        <v>37</v>
      </c>
      <c r="Z61" s="27">
        <v>0.1</v>
      </c>
      <c r="AA61" s="27">
        <v>0.34920000000000001</v>
      </c>
      <c r="AB61" s="27">
        <v>2.2837000000000001</v>
      </c>
      <c r="AC61" s="27">
        <v>2.01E-2</v>
      </c>
      <c r="AD61" s="29">
        <v>37</v>
      </c>
      <c r="AE61" s="27">
        <v>0.1</v>
      </c>
      <c r="AF61" s="27">
        <v>0.34920000000000001</v>
      </c>
      <c r="AG61" s="27">
        <v>2.2837000000000001</v>
      </c>
      <c r="AH61" s="243">
        <v>2.01E-2</v>
      </c>
      <c r="AI61" s="261">
        <f t="shared" si="0"/>
        <v>3.5470922015433497E-3</v>
      </c>
      <c r="AJ61" s="262">
        <f t="shared" si="1"/>
        <v>5.1476094144348589E-3</v>
      </c>
      <c r="AK61" s="262">
        <f t="shared" si="2"/>
        <v>2.4967462919999999E-2</v>
      </c>
      <c r="AL61" s="263">
        <f t="shared" si="3"/>
        <v>8.4351582841579601E-4</v>
      </c>
    </row>
    <row r="62" spans="1:38" x14ac:dyDescent="0.25">
      <c r="A62" s="256">
        <v>723</v>
      </c>
      <c r="B62" s="16" t="s">
        <v>26</v>
      </c>
      <c r="C62" s="24">
        <v>42416</v>
      </c>
      <c r="D62" s="255">
        <v>0.2</v>
      </c>
      <c r="E62" s="250">
        <v>39</v>
      </c>
      <c r="F62" s="27">
        <v>9.5600000000000004E-2</v>
      </c>
      <c r="G62" s="27">
        <v>0.34699999999999998</v>
      </c>
      <c r="H62" s="27">
        <v>2.2157</v>
      </c>
      <c r="I62" s="27">
        <v>1.9099999999999999E-2</v>
      </c>
      <c r="J62" s="26">
        <v>35</v>
      </c>
      <c r="K62" s="27">
        <v>0.1043</v>
      </c>
      <c r="L62" s="27">
        <v>0.35139999999999999</v>
      </c>
      <c r="M62" s="27">
        <v>2.3517999999999999</v>
      </c>
      <c r="N62" s="243">
        <v>2.1000000000000001E-2</v>
      </c>
      <c r="O62" s="210">
        <v>40</v>
      </c>
      <c r="P62" s="27">
        <v>9.3399999999999997E-2</v>
      </c>
      <c r="Q62" s="27">
        <v>0.34589999999999999</v>
      </c>
      <c r="R62" s="27">
        <v>2.1817000000000002</v>
      </c>
      <c r="S62" s="27">
        <v>1.8599999999999998E-2</v>
      </c>
      <c r="T62" s="29">
        <v>37</v>
      </c>
      <c r="U62" s="27">
        <v>0.1</v>
      </c>
      <c r="V62" s="27">
        <v>0.34920000000000001</v>
      </c>
      <c r="W62" s="27">
        <v>2.2837000000000001</v>
      </c>
      <c r="X62" s="243">
        <v>2.01E-2</v>
      </c>
      <c r="Y62" s="210">
        <v>25</v>
      </c>
      <c r="Z62" s="27">
        <v>0.1356</v>
      </c>
      <c r="AA62" s="27">
        <v>0.39829999999999999</v>
      </c>
      <c r="AB62" s="27">
        <v>2.6698</v>
      </c>
      <c r="AC62" s="27">
        <v>2.8899999999999999E-2</v>
      </c>
      <c r="AD62" s="29">
        <v>29</v>
      </c>
      <c r="AE62" s="29">
        <v>0.12239999999999999</v>
      </c>
      <c r="AF62" s="29">
        <v>0.37930000000000003</v>
      </c>
      <c r="AG62" s="29">
        <v>2.5859000000000001</v>
      </c>
      <c r="AH62" s="209">
        <v>2.58E-2</v>
      </c>
      <c r="AI62" s="261">
        <f t="shared" si="0"/>
        <v>-8.3066431593282041E-3</v>
      </c>
      <c r="AJ62" s="262">
        <f t="shared" si="1"/>
        <v>2.7969915206535814E-3</v>
      </c>
      <c r="AK62" s="262">
        <f t="shared" si="2"/>
        <v>-0.21654449607999979</v>
      </c>
      <c r="AL62" s="263">
        <f t="shared" si="3"/>
        <v>-1.7990699228325059E-3</v>
      </c>
    </row>
    <row r="63" spans="1:38" x14ac:dyDescent="0.25">
      <c r="A63" s="256">
        <v>723</v>
      </c>
      <c r="B63" s="16" t="s">
        <v>27</v>
      </c>
      <c r="C63" s="25">
        <v>38607</v>
      </c>
      <c r="D63" s="255">
        <v>0.7</v>
      </c>
      <c r="E63" s="250">
        <v>15</v>
      </c>
      <c r="F63" s="27">
        <v>0.19719999999999999</v>
      </c>
      <c r="G63" s="27">
        <v>0.48480000000000001</v>
      </c>
      <c r="H63" s="27">
        <v>3.4870999999999999</v>
      </c>
      <c r="I63" s="27">
        <v>3.9899999999999998E-2</v>
      </c>
      <c r="J63" s="26">
        <v>38</v>
      </c>
      <c r="K63" s="27">
        <v>9.7799999999999998E-2</v>
      </c>
      <c r="L63" s="27">
        <v>0.34810000000000002</v>
      </c>
      <c r="M63" s="27">
        <v>2.2496999999999998</v>
      </c>
      <c r="N63" s="243">
        <v>1.9599999999999999E-2</v>
      </c>
      <c r="O63" s="210">
        <v>38</v>
      </c>
      <c r="P63" s="27">
        <v>9.7799999999999998E-2</v>
      </c>
      <c r="Q63" s="27">
        <v>0.34810000000000002</v>
      </c>
      <c r="R63" s="27">
        <v>2.2496999999999998</v>
      </c>
      <c r="S63" s="27">
        <v>1.9599999999999999E-2</v>
      </c>
      <c r="T63" s="29">
        <v>43</v>
      </c>
      <c r="U63" s="27">
        <v>8.8599999999999998E-2</v>
      </c>
      <c r="V63" s="27">
        <v>0.34420000000000001</v>
      </c>
      <c r="W63" s="27">
        <v>2.1206</v>
      </c>
      <c r="X63" s="243">
        <v>1.7500000000000002E-2</v>
      </c>
      <c r="Y63" s="210">
        <v>39</v>
      </c>
      <c r="Z63" s="27">
        <v>9.5600000000000004E-2</v>
      </c>
      <c r="AA63" s="27">
        <v>0.34699999999999998</v>
      </c>
      <c r="AB63" s="27">
        <v>2.2157</v>
      </c>
      <c r="AC63" s="27">
        <v>1.9099999999999999E-2</v>
      </c>
      <c r="AD63" s="29">
        <v>37</v>
      </c>
      <c r="AE63" s="27">
        <v>0.1</v>
      </c>
      <c r="AF63" s="27">
        <v>0.34920000000000001</v>
      </c>
      <c r="AG63" s="27">
        <v>2.2837000000000001</v>
      </c>
      <c r="AH63" s="243">
        <v>2.01E-2</v>
      </c>
      <c r="AI63" s="261">
        <f t="shared" si="0"/>
        <v>0.17919238391738534</v>
      </c>
      <c r="AJ63" s="262">
        <f t="shared" si="1"/>
        <v>0.20238620072628236</v>
      </c>
      <c r="AK63" s="262">
        <f t="shared" si="2"/>
        <v>2.524466849362498</v>
      </c>
      <c r="AL63" s="263">
        <f t="shared" si="3"/>
        <v>3.7701146241488855E-2</v>
      </c>
    </row>
    <row r="64" spans="1:38" x14ac:dyDescent="0.25">
      <c r="A64" s="256">
        <v>724</v>
      </c>
      <c r="B64" s="16" t="s">
        <v>26</v>
      </c>
      <c r="C64" s="25">
        <v>35067</v>
      </c>
      <c r="D64" s="255">
        <v>0.7</v>
      </c>
      <c r="E64" s="250">
        <v>48</v>
      </c>
      <c r="F64" s="27">
        <v>8.1900000000000001E-2</v>
      </c>
      <c r="G64" s="27">
        <v>0.34350000000000003</v>
      </c>
      <c r="H64" s="27">
        <v>2.0611999999999999</v>
      </c>
      <c r="I64" s="27">
        <v>1.5900000000000001E-2</v>
      </c>
      <c r="J64" s="26">
        <v>51</v>
      </c>
      <c r="K64" s="27">
        <v>7.8700000000000006E-2</v>
      </c>
      <c r="L64" s="27">
        <v>0.34420000000000001</v>
      </c>
      <c r="M64" s="27">
        <v>2.0508999999999999</v>
      </c>
      <c r="N64" s="243">
        <v>1.4999999999999999E-2</v>
      </c>
      <c r="O64" s="210">
        <v>41</v>
      </c>
      <c r="P64" s="27">
        <v>9.1800000000000007E-2</v>
      </c>
      <c r="Q64" s="27">
        <v>0.3453</v>
      </c>
      <c r="R64" s="27">
        <v>2.1613000000000002</v>
      </c>
      <c r="S64" s="27">
        <v>1.83E-2</v>
      </c>
      <c r="T64" s="29">
        <v>46</v>
      </c>
      <c r="U64" s="27">
        <v>8.4199999999999997E-2</v>
      </c>
      <c r="V64" s="27">
        <v>0.34320000000000001</v>
      </c>
      <c r="W64" s="27">
        <v>2.0737000000000001</v>
      </c>
      <c r="X64" s="243">
        <v>1.6500000000000001E-2</v>
      </c>
      <c r="Y64" s="210">
        <v>21</v>
      </c>
      <c r="Z64" s="29">
        <v>0.15590000000000001</v>
      </c>
      <c r="AA64" s="29">
        <v>0.4274</v>
      </c>
      <c r="AB64" s="29">
        <v>3.0467</v>
      </c>
      <c r="AC64" s="29">
        <v>3.27E-2</v>
      </c>
      <c r="AD64" s="29">
        <v>43</v>
      </c>
      <c r="AE64" s="27">
        <v>8.8599999999999998E-2</v>
      </c>
      <c r="AF64" s="27">
        <v>0.34420000000000001</v>
      </c>
      <c r="AG64" s="27">
        <v>2.1206</v>
      </c>
      <c r="AH64" s="243">
        <v>1.7500000000000002E-2</v>
      </c>
      <c r="AI64" s="261">
        <f t="shared" si="0"/>
        <v>0.15357021995460743</v>
      </c>
      <c r="AJ64" s="262">
        <f t="shared" si="1"/>
        <v>0.1455988843849296</v>
      </c>
      <c r="AK64" s="262">
        <f t="shared" si="2"/>
        <v>2.1835038265425006</v>
      </c>
      <c r="AL64" s="263">
        <f t="shared" si="3"/>
        <v>3.534229903086699E-2</v>
      </c>
    </row>
    <row r="65" spans="1:38" x14ac:dyDescent="0.25">
      <c r="A65" s="256">
        <v>724</v>
      </c>
      <c r="B65" s="16" t="s">
        <v>27</v>
      </c>
      <c r="C65" s="24">
        <v>39336</v>
      </c>
      <c r="D65" s="255">
        <v>0.2</v>
      </c>
      <c r="E65" s="250">
        <v>39</v>
      </c>
      <c r="F65" s="27">
        <v>9.5600000000000004E-2</v>
      </c>
      <c r="G65" s="27">
        <v>0.34699999999999998</v>
      </c>
      <c r="H65" s="27">
        <v>2.2157</v>
      </c>
      <c r="I65" s="27">
        <v>1.9099999999999999E-2</v>
      </c>
      <c r="J65" s="26">
        <v>37</v>
      </c>
      <c r="K65" s="27">
        <v>0.1</v>
      </c>
      <c r="L65" s="27">
        <v>0.34920000000000001</v>
      </c>
      <c r="M65" s="27">
        <v>2.2837000000000001</v>
      </c>
      <c r="N65" s="243">
        <v>2.01E-2</v>
      </c>
      <c r="O65" s="210">
        <v>45</v>
      </c>
      <c r="P65" s="27">
        <v>8.5400000000000004E-2</v>
      </c>
      <c r="Q65" s="27">
        <v>0.34310000000000002</v>
      </c>
      <c r="R65" s="27">
        <v>2.0798999999999999</v>
      </c>
      <c r="S65" s="27">
        <v>1.6799999999999999E-2</v>
      </c>
      <c r="T65" s="29">
        <v>43</v>
      </c>
      <c r="U65" s="27">
        <v>8.8599999999999998E-2</v>
      </c>
      <c r="V65" s="27">
        <v>0.34420000000000001</v>
      </c>
      <c r="W65" s="27">
        <v>2.1206</v>
      </c>
      <c r="X65" s="243">
        <v>1.7500000000000002E-2</v>
      </c>
      <c r="Y65" s="210">
        <v>42</v>
      </c>
      <c r="Z65" s="27">
        <v>9.0200000000000002E-2</v>
      </c>
      <c r="AA65" s="27">
        <v>0.34470000000000001</v>
      </c>
      <c r="AB65" s="27">
        <v>2.141</v>
      </c>
      <c r="AC65" s="27">
        <v>1.7899999999999999E-2</v>
      </c>
      <c r="AD65" s="29">
        <v>42</v>
      </c>
      <c r="AE65" s="27">
        <v>9.0200000000000002E-2</v>
      </c>
      <c r="AF65" s="27">
        <v>0.34470000000000001</v>
      </c>
      <c r="AG65" s="27">
        <v>2.141</v>
      </c>
      <c r="AH65" s="243">
        <v>1.7899999999999999E-2</v>
      </c>
      <c r="AI65" s="261">
        <f t="shared" si="0"/>
        <v>-7.1429747798456575E-3</v>
      </c>
      <c r="AJ65" s="262">
        <f t="shared" si="1"/>
        <v>-2.7242367317294566E-3</v>
      </c>
      <c r="AK65" s="262">
        <f t="shared" si="2"/>
        <v>-0.10525585884000035</v>
      </c>
      <c r="AL65" s="263">
        <f t="shared" si="3"/>
        <v>-1.577189686790745E-3</v>
      </c>
    </row>
    <row r="66" spans="1:38" x14ac:dyDescent="0.25">
      <c r="A66" s="256">
        <v>725</v>
      </c>
      <c r="B66" s="16" t="s">
        <v>26</v>
      </c>
      <c r="C66" s="24">
        <v>36956</v>
      </c>
      <c r="D66" s="255">
        <v>0.1</v>
      </c>
      <c r="E66" s="250">
        <v>39</v>
      </c>
      <c r="F66" s="27">
        <v>9.5600000000000004E-2</v>
      </c>
      <c r="G66" s="27">
        <v>0.34699999999999998</v>
      </c>
      <c r="H66" s="27">
        <v>2.2157</v>
      </c>
      <c r="I66" s="27">
        <v>1.9099999999999999E-2</v>
      </c>
      <c r="J66" s="26">
        <v>42</v>
      </c>
      <c r="K66" s="27">
        <v>9.0200000000000002E-2</v>
      </c>
      <c r="L66" s="27">
        <v>0.34470000000000001</v>
      </c>
      <c r="M66" s="27">
        <v>2.141</v>
      </c>
      <c r="N66" s="243">
        <v>1.7899999999999999E-2</v>
      </c>
      <c r="O66" s="210">
        <v>38</v>
      </c>
      <c r="P66" s="27">
        <v>9.7799999999999998E-2</v>
      </c>
      <c r="Q66" s="27">
        <v>0.34810000000000002</v>
      </c>
      <c r="R66" s="27">
        <v>2.2496999999999998</v>
      </c>
      <c r="S66" s="27">
        <v>1.9599999999999999E-2</v>
      </c>
      <c r="T66" s="29">
        <v>42</v>
      </c>
      <c r="U66" s="27">
        <v>9.0200000000000002E-2</v>
      </c>
      <c r="V66" s="27">
        <v>0.34470000000000001</v>
      </c>
      <c r="W66" s="27">
        <v>2.141</v>
      </c>
      <c r="X66" s="243">
        <v>1.7899999999999999E-2</v>
      </c>
      <c r="Y66" s="210">
        <v>16</v>
      </c>
      <c r="Z66" s="27">
        <v>0.18990000000000001</v>
      </c>
      <c r="AA66" s="27">
        <v>0.4748</v>
      </c>
      <c r="AB66" s="27">
        <v>3.4178999999999999</v>
      </c>
      <c r="AC66" s="27">
        <v>3.8600000000000002E-2</v>
      </c>
      <c r="AD66" s="29">
        <v>38</v>
      </c>
      <c r="AE66" s="27">
        <v>9.7799999999999998E-2</v>
      </c>
      <c r="AF66" s="27">
        <v>0.34810000000000002</v>
      </c>
      <c r="AG66" s="27">
        <v>2.2496999999999998</v>
      </c>
      <c r="AH66" s="243">
        <v>1.9599999999999999E-2</v>
      </c>
      <c r="AI66" s="261">
        <f t="shared" si="0"/>
        <v>2.9598518365864739E-2</v>
      </c>
      <c r="AJ66" s="262">
        <f t="shared" si="1"/>
        <v>3.4160143558783475E-2</v>
      </c>
      <c r="AK66" s="262">
        <f t="shared" si="2"/>
        <v>0.42557605699999995</v>
      </c>
      <c r="AL66" s="263">
        <f t="shared" si="3"/>
        <v>6.2270776123468001E-3</v>
      </c>
    </row>
    <row r="67" spans="1:38" x14ac:dyDescent="0.25">
      <c r="A67" s="256">
        <v>725</v>
      </c>
      <c r="B67" s="16" t="s">
        <v>27</v>
      </c>
      <c r="C67" s="25">
        <v>36706</v>
      </c>
      <c r="D67" s="255">
        <v>0.7</v>
      </c>
      <c r="E67" s="250">
        <v>36</v>
      </c>
      <c r="F67" s="27">
        <v>0.1021</v>
      </c>
      <c r="G67" s="27">
        <v>0.3503</v>
      </c>
      <c r="H67" s="27">
        <v>2.3176999999999999</v>
      </c>
      <c r="I67" s="27">
        <v>2.06E-2</v>
      </c>
      <c r="J67" s="26">
        <v>43</v>
      </c>
      <c r="K67" s="27">
        <v>8.8599999999999998E-2</v>
      </c>
      <c r="L67" s="27">
        <v>0.34420000000000001</v>
      </c>
      <c r="M67" s="27">
        <v>2.1206</v>
      </c>
      <c r="N67" s="243">
        <v>1.7500000000000002E-2</v>
      </c>
      <c r="O67" s="210">
        <v>40</v>
      </c>
      <c r="P67" s="27">
        <v>9.3399999999999997E-2</v>
      </c>
      <c r="Q67" s="27">
        <v>0.34589999999999999</v>
      </c>
      <c r="R67" s="27">
        <v>2.1817000000000002</v>
      </c>
      <c r="S67" s="27">
        <v>1.8599999999999998E-2</v>
      </c>
      <c r="T67" s="29">
        <v>46</v>
      </c>
      <c r="U67" s="27">
        <v>8.4199999999999997E-2</v>
      </c>
      <c r="V67" s="27">
        <v>0.34320000000000001</v>
      </c>
      <c r="W67" s="27">
        <v>2.0737000000000001</v>
      </c>
      <c r="X67" s="243">
        <v>1.6500000000000001E-2</v>
      </c>
      <c r="Y67" s="210">
        <v>39</v>
      </c>
      <c r="Z67" s="27">
        <v>9.5600000000000004E-2</v>
      </c>
      <c r="AA67" s="27">
        <v>0.34699999999999998</v>
      </c>
      <c r="AB67" s="27">
        <v>2.2157</v>
      </c>
      <c r="AC67" s="27">
        <v>1.9099999999999999E-2</v>
      </c>
      <c r="AD67" s="29">
        <v>41</v>
      </c>
      <c r="AE67" s="27">
        <v>9.1800000000000007E-2</v>
      </c>
      <c r="AF67" s="27">
        <v>0.3453</v>
      </c>
      <c r="AG67" s="27">
        <v>2.1613000000000002</v>
      </c>
      <c r="AH67" s="243">
        <v>1.83E-2</v>
      </c>
      <c r="AI67" s="261">
        <f t="shared" si="0"/>
        <v>7.4626896954153407E-2</v>
      </c>
      <c r="AJ67" s="262">
        <f t="shared" si="1"/>
        <v>2.5627719319110152E-2</v>
      </c>
      <c r="AK67" s="262">
        <f t="shared" si="2"/>
        <v>1.0376711870349997</v>
      </c>
      <c r="AL67" s="263">
        <f t="shared" si="3"/>
        <v>1.6943243004993173E-2</v>
      </c>
    </row>
    <row r="68" spans="1:38" x14ac:dyDescent="0.25">
      <c r="A68" s="256">
        <v>726</v>
      </c>
      <c r="B68" s="16" t="s">
        <v>26</v>
      </c>
      <c r="C68" s="25">
        <v>33868</v>
      </c>
      <c r="D68" s="255">
        <v>0.7</v>
      </c>
      <c r="E68" s="250">
        <v>47</v>
      </c>
      <c r="F68" s="27">
        <v>8.3000000000000004E-2</v>
      </c>
      <c r="G68" s="27">
        <v>0.34339999999999998</v>
      </c>
      <c r="H68" s="27">
        <v>2.0674999999999999</v>
      </c>
      <c r="I68" s="27">
        <v>1.6199999999999999E-2</v>
      </c>
      <c r="J68" s="26">
        <v>48</v>
      </c>
      <c r="K68" s="27">
        <v>8.1900000000000001E-2</v>
      </c>
      <c r="L68" s="27">
        <v>0.34350000000000003</v>
      </c>
      <c r="M68" s="27">
        <v>2.0611999999999999</v>
      </c>
      <c r="N68" s="243">
        <v>1.5900000000000001E-2</v>
      </c>
      <c r="O68" s="210">
        <v>42</v>
      </c>
      <c r="P68" s="27">
        <v>9.0200000000000002E-2</v>
      </c>
      <c r="Q68" s="27">
        <v>0.34470000000000001</v>
      </c>
      <c r="R68" s="27">
        <v>2.141</v>
      </c>
      <c r="S68" s="27">
        <v>1.7899999999999999E-2</v>
      </c>
      <c r="T68" s="29">
        <v>43</v>
      </c>
      <c r="U68" s="27">
        <v>8.8599999999999998E-2</v>
      </c>
      <c r="V68" s="27">
        <v>0.34420000000000001</v>
      </c>
      <c r="W68" s="27">
        <v>2.1206</v>
      </c>
      <c r="X68" s="243">
        <v>1.7500000000000002E-2</v>
      </c>
      <c r="Y68" s="210">
        <v>8</v>
      </c>
      <c r="Z68" s="29">
        <v>0.34799999999999998</v>
      </c>
      <c r="AA68" s="29">
        <v>0.67959999999999998</v>
      </c>
      <c r="AB68" s="29">
        <v>4.5465999999999998</v>
      </c>
      <c r="AC68" s="29">
        <v>6.4899999999999999E-2</v>
      </c>
      <c r="AD68" s="29">
        <v>10</v>
      </c>
      <c r="AE68" s="29">
        <v>0.2651</v>
      </c>
      <c r="AF68" s="29">
        <v>0.56769999999999998</v>
      </c>
      <c r="AG68" s="29">
        <v>3.9540000000000002</v>
      </c>
      <c r="AH68" s="209">
        <v>5.11E-2</v>
      </c>
      <c r="AI68" s="261">
        <f t="shared" si="0"/>
        <v>0.13971718392192461</v>
      </c>
      <c r="AJ68" s="262">
        <f t="shared" si="1"/>
        <v>0.17825037408987734</v>
      </c>
      <c r="AK68" s="262">
        <f t="shared" si="2"/>
        <v>1.148505791649999</v>
      </c>
      <c r="AL68" s="263">
        <f t="shared" si="3"/>
        <v>2.4078333917385366E-2</v>
      </c>
    </row>
    <row r="69" spans="1:38" x14ac:dyDescent="0.25">
      <c r="A69" s="256">
        <v>726</v>
      </c>
      <c r="B69" s="16" t="s">
        <v>27</v>
      </c>
      <c r="C69" s="24">
        <v>38158</v>
      </c>
      <c r="D69" s="255">
        <v>0.2</v>
      </c>
      <c r="E69" s="250">
        <v>36</v>
      </c>
      <c r="F69" s="27">
        <v>0.1021</v>
      </c>
      <c r="G69" s="27">
        <v>0.3503</v>
      </c>
      <c r="H69" s="27">
        <v>2.3176999999999999</v>
      </c>
      <c r="I69" s="27">
        <v>2.06E-2</v>
      </c>
      <c r="J69" s="26">
        <v>43</v>
      </c>
      <c r="K69" s="27">
        <v>8.8599999999999998E-2</v>
      </c>
      <c r="L69" s="27">
        <v>0.34420000000000001</v>
      </c>
      <c r="M69" s="27">
        <v>2.1206</v>
      </c>
      <c r="N69" s="243">
        <v>1.7500000000000002E-2</v>
      </c>
      <c r="O69" s="210">
        <v>42</v>
      </c>
      <c r="P69" s="27">
        <v>9.0200000000000002E-2</v>
      </c>
      <c r="Q69" s="27">
        <v>0.34470000000000001</v>
      </c>
      <c r="R69" s="27">
        <v>2.141</v>
      </c>
      <c r="S69" s="27">
        <v>1.7899999999999999E-2</v>
      </c>
      <c r="T69" s="29">
        <v>44</v>
      </c>
      <c r="U69" s="27">
        <v>8.6999999999999994E-2</v>
      </c>
      <c r="V69" s="27">
        <v>0.34360000000000002</v>
      </c>
      <c r="W69" s="27">
        <v>2.1002999999999998</v>
      </c>
      <c r="X69" s="243">
        <v>1.72E-2</v>
      </c>
      <c r="Y69" s="210">
        <v>29</v>
      </c>
      <c r="Z69" s="29">
        <v>0.12239999999999999</v>
      </c>
      <c r="AA69" s="29">
        <v>0.37930000000000003</v>
      </c>
      <c r="AB69" s="29">
        <v>2.5859000000000001</v>
      </c>
      <c r="AC69" s="29">
        <v>2.58E-2</v>
      </c>
      <c r="AD69" s="29">
        <v>38</v>
      </c>
      <c r="AE69" s="27">
        <v>9.7799999999999998E-2</v>
      </c>
      <c r="AF69" s="27">
        <v>0.34810000000000002</v>
      </c>
      <c r="AG69" s="27">
        <v>2.2496999999999998</v>
      </c>
      <c r="AH69" s="243">
        <v>1.9599999999999999E-2</v>
      </c>
      <c r="AI69" s="261">
        <f t="shared" si="0"/>
        <v>2.2822918157058565E-2</v>
      </c>
      <c r="AJ69" s="262">
        <f t="shared" si="1"/>
        <v>1.990209040399454E-2</v>
      </c>
      <c r="AK69" s="262">
        <f t="shared" si="2"/>
        <v>0.3433449208400004</v>
      </c>
      <c r="AL69" s="263">
        <f t="shared" si="3"/>
        <v>5.4623272265093038E-3</v>
      </c>
    </row>
    <row r="70" spans="1:38" x14ac:dyDescent="0.25">
      <c r="A70" s="256">
        <v>741</v>
      </c>
      <c r="B70" s="16" t="s">
        <v>26</v>
      </c>
      <c r="C70" s="24">
        <v>37776</v>
      </c>
      <c r="D70" s="255">
        <v>0.2</v>
      </c>
      <c r="E70" s="250">
        <v>37</v>
      </c>
      <c r="F70" s="27">
        <v>0.1</v>
      </c>
      <c r="G70" s="27">
        <v>0.34920000000000001</v>
      </c>
      <c r="H70" s="27">
        <v>2.2837000000000001</v>
      </c>
      <c r="I70" s="27">
        <v>2.01E-2</v>
      </c>
      <c r="J70" s="26">
        <v>41</v>
      </c>
      <c r="K70" s="27">
        <v>9.1800000000000007E-2</v>
      </c>
      <c r="L70" s="27">
        <v>0.3453</v>
      </c>
      <c r="M70" s="27">
        <v>2.1613000000000002</v>
      </c>
      <c r="N70" s="243">
        <v>1.83E-2</v>
      </c>
      <c r="O70" s="210">
        <v>42</v>
      </c>
      <c r="P70" s="27">
        <v>9.0200000000000002E-2</v>
      </c>
      <c r="Q70" s="27">
        <v>0.34470000000000001</v>
      </c>
      <c r="R70" s="27">
        <v>2.141</v>
      </c>
      <c r="S70" s="27">
        <v>1.7899999999999999E-2</v>
      </c>
      <c r="T70" s="29">
        <v>43</v>
      </c>
      <c r="U70" s="27">
        <v>8.8599999999999998E-2</v>
      </c>
      <c r="V70" s="27">
        <v>0.34420000000000001</v>
      </c>
      <c r="W70" s="27">
        <v>2.1206</v>
      </c>
      <c r="X70" s="243">
        <v>1.7500000000000002E-2</v>
      </c>
      <c r="Y70" s="210">
        <v>17</v>
      </c>
      <c r="Z70" s="27">
        <v>0.1827</v>
      </c>
      <c r="AA70" s="27">
        <v>0.4647</v>
      </c>
      <c r="AB70" s="27">
        <v>3.3487</v>
      </c>
      <c r="AC70" s="27">
        <v>3.7400000000000003E-2</v>
      </c>
      <c r="AD70" s="29">
        <v>14</v>
      </c>
      <c r="AE70" s="29">
        <v>0.21079999999999999</v>
      </c>
      <c r="AF70" s="29">
        <v>0.50139999999999996</v>
      </c>
      <c r="AG70" s="29">
        <v>3.5804999999999998</v>
      </c>
      <c r="AH70" s="209">
        <v>4.2099999999999999E-2</v>
      </c>
      <c r="AI70" s="261">
        <f t="shared" si="0"/>
        <v>-8.3868550158874133E-3</v>
      </c>
      <c r="AJ70" s="262">
        <f t="shared" si="1"/>
        <v>-1.6097754552882405E-2</v>
      </c>
      <c r="AK70" s="262">
        <f t="shared" si="2"/>
        <v>-4.0647731520000001E-2</v>
      </c>
      <c r="AL70" s="263">
        <f t="shared" si="3"/>
        <v>-1.0264509123921945E-3</v>
      </c>
    </row>
    <row r="71" spans="1:38" x14ac:dyDescent="0.25">
      <c r="A71" s="256">
        <v>741</v>
      </c>
      <c r="B71" s="16" t="s">
        <v>27</v>
      </c>
      <c r="C71" s="25">
        <v>35033</v>
      </c>
      <c r="D71" s="255">
        <v>0.2</v>
      </c>
      <c r="E71" s="250">
        <v>29</v>
      </c>
      <c r="F71" s="27">
        <v>0.12239999999999999</v>
      </c>
      <c r="G71" s="27">
        <v>0.37930000000000003</v>
      </c>
      <c r="H71" s="27">
        <v>2.5859000000000001</v>
      </c>
      <c r="I71" s="27">
        <v>2.58E-2</v>
      </c>
      <c r="J71" s="26">
        <v>36</v>
      </c>
      <c r="K71" s="27">
        <v>0.1021</v>
      </c>
      <c r="L71" s="27">
        <v>0.3503</v>
      </c>
      <c r="M71" s="27">
        <v>2.3176999999999999</v>
      </c>
      <c r="N71" s="243">
        <v>2.06E-2</v>
      </c>
      <c r="O71" s="210">
        <v>31</v>
      </c>
      <c r="P71" s="27">
        <v>0.1162</v>
      </c>
      <c r="Q71" s="27">
        <v>0.36990000000000001</v>
      </c>
      <c r="R71" s="27">
        <v>2.5223</v>
      </c>
      <c r="S71" s="27">
        <v>2.4199999999999999E-2</v>
      </c>
      <c r="T71" s="29">
        <v>37</v>
      </c>
      <c r="U71" s="27">
        <v>0.1</v>
      </c>
      <c r="V71" s="27">
        <v>0.34920000000000001</v>
      </c>
      <c r="W71" s="27">
        <v>2.2837000000000001</v>
      </c>
      <c r="X71" s="243">
        <v>2.01E-2</v>
      </c>
      <c r="Y71" s="210">
        <v>2</v>
      </c>
      <c r="Z71" s="29">
        <v>2.2372999999999998</v>
      </c>
      <c r="AA71" s="29">
        <v>3.7023000000000001</v>
      </c>
      <c r="AB71" s="29">
        <v>21.316700000000001</v>
      </c>
      <c r="AC71" s="29">
        <v>0.39410000000000001</v>
      </c>
      <c r="AD71" s="29">
        <v>2</v>
      </c>
      <c r="AE71" s="29">
        <v>2.2372999999999998</v>
      </c>
      <c r="AF71" s="29">
        <v>3.7023000000000001</v>
      </c>
      <c r="AG71" s="29">
        <v>21.316700000000001</v>
      </c>
      <c r="AH71" s="209">
        <v>0.39410000000000001</v>
      </c>
      <c r="AI71" s="261">
        <f t="shared" ref="AI71:AI91" si="4">(((C71*D71*0.15*(F71-K71))+(C71*D71*0.65*(P71-U71))+(C71*D71*0.2*(Z71-AE71)))/1101500)*365</f>
        <v>3.1517773195642286E-2</v>
      </c>
      <c r="AJ71" s="262">
        <f t="shared" ref="AJ71:AJ91" si="5">(((C71*D71*0.15)*(G71-L71)+(C71*D71*0.65)*(Q71-V71)+(C71*D71*0.2)*(AA71-AF71))/1101500)*365</f>
        <v>4.1338780975941909E-2</v>
      </c>
      <c r="AK71" s="262">
        <f t="shared" ref="AK71:AK91" si="6">(((C71*D71*0.15)*(H71-M71)+(C71*D71*0.65)*(R71-W71)+(C71*D71*0.2)*(AB71-AG71))/1000000)*365</f>
        <v>0.49951312588000002</v>
      </c>
      <c r="AL71" s="263">
        <f t="shared" ref="AL71:AL91" si="7">(((C71*D71*0.15)*(I71-N71)+(C71*D71*0.65)*(S71-X71)+(C71*D71*0.2)*(AC71-AH71))/1101500)*365</f>
        <v>7.9984330503858371E-3</v>
      </c>
    </row>
    <row r="72" spans="1:38" x14ac:dyDescent="0.25">
      <c r="A72" s="256">
        <v>782</v>
      </c>
      <c r="B72" s="16" t="s">
        <v>26</v>
      </c>
      <c r="C72" s="25">
        <v>42273</v>
      </c>
      <c r="D72" s="255">
        <v>0.4</v>
      </c>
      <c r="E72" s="250">
        <v>37</v>
      </c>
      <c r="F72" s="27">
        <v>0.1</v>
      </c>
      <c r="G72" s="27">
        <v>0.34920000000000001</v>
      </c>
      <c r="H72" s="27">
        <v>2.2837000000000001</v>
      </c>
      <c r="I72" s="27">
        <v>2.01E-2</v>
      </c>
      <c r="J72" s="26">
        <v>42</v>
      </c>
      <c r="K72" s="27">
        <v>9.0200000000000002E-2</v>
      </c>
      <c r="L72" s="27">
        <v>0.34470000000000001</v>
      </c>
      <c r="M72" s="27">
        <v>2.141</v>
      </c>
      <c r="N72" s="243">
        <v>1.7899999999999999E-2</v>
      </c>
      <c r="O72" s="210">
        <v>35</v>
      </c>
      <c r="P72" s="27">
        <v>0.1043</v>
      </c>
      <c r="Q72" s="27">
        <v>0.35139999999999999</v>
      </c>
      <c r="R72" s="27">
        <v>2.3517999999999999</v>
      </c>
      <c r="S72" s="27">
        <v>2.1000000000000001E-2</v>
      </c>
      <c r="T72" s="29">
        <v>40</v>
      </c>
      <c r="U72" s="27">
        <v>9.3399999999999997E-2</v>
      </c>
      <c r="V72" s="27">
        <v>0.34589999999999999</v>
      </c>
      <c r="W72" s="27">
        <v>2.1817000000000002</v>
      </c>
      <c r="X72" s="243">
        <v>1.8599999999999998E-2</v>
      </c>
      <c r="Y72" s="210">
        <v>31</v>
      </c>
      <c r="Z72" s="27">
        <v>0.1162</v>
      </c>
      <c r="AA72" s="27">
        <v>0.36990000000000001</v>
      </c>
      <c r="AB72" s="27">
        <v>2.5223</v>
      </c>
      <c r="AC72" s="27">
        <v>2.4199999999999999E-2</v>
      </c>
      <c r="AD72" s="29">
        <v>39</v>
      </c>
      <c r="AE72" s="27">
        <v>9.5600000000000004E-2</v>
      </c>
      <c r="AF72" s="27">
        <v>0.34699999999999998</v>
      </c>
      <c r="AG72" s="27">
        <v>2.2157</v>
      </c>
      <c r="AH72" s="243">
        <v>1.9099999999999999E-2</v>
      </c>
      <c r="AI72" s="261">
        <f t="shared" si="4"/>
        <v>7.1019791330004564E-2</v>
      </c>
      <c r="AJ72" s="262">
        <f t="shared" si="5"/>
        <v>4.94757205083977E-2</v>
      </c>
      <c r="AK72" s="262">
        <f t="shared" si="6"/>
        <v>1.1929584328199989</v>
      </c>
      <c r="AL72" s="263">
        <f t="shared" si="7"/>
        <v>1.6305135524285079E-2</v>
      </c>
    </row>
    <row r="73" spans="1:38" x14ac:dyDescent="0.25">
      <c r="A73" s="256">
        <v>782</v>
      </c>
      <c r="B73" s="16" t="s">
        <v>27</v>
      </c>
      <c r="C73" s="24">
        <v>43958</v>
      </c>
      <c r="D73" s="255">
        <v>0.1</v>
      </c>
      <c r="E73" s="250">
        <v>35</v>
      </c>
      <c r="F73" s="27">
        <v>0.1043</v>
      </c>
      <c r="G73" s="27">
        <v>0.35139999999999999</v>
      </c>
      <c r="H73" s="27">
        <v>2.3517999999999999</v>
      </c>
      <c r="I73" s="27">
        <v>2.1000000000000001E-2</v>
      </c>
      <c r="J73" s="26">
        <v>30</v>
      </c>
      <c r="K73" s="27">
        <v>0.1192</v>
      </c>
      <c r="L73" s="27">
        <v>0.3745</v>
      </c>
      <c r="M73" s="27">
        <v>2.5649999999999999</v>
      </c>
      <c r="N73" s="243">
        <v>2.5000000000000001E-2</v>
      </c>
      <c r="O73" s="210">
        <v>38</v>
      </c>
      <c r="P73" s="27">
        <v>9.7799999999999998E-2</v>
      </c>
      <c r="Q73" s="27">
        <v>0.34810000000000002</v>
      </c>
      <c r="R73" s="27">
        <v>2.2496999999999998</v>
      </c>
      <c r="S73" s="27">
        <v>1.9599999999999999E-2</v>
      </c>
      <c r="T73" s="29">
        <v>37</v>
      </c>
      <c r="U73" s="27">
        <v>0.1</v>
      </c>
      <c r="V73" s="27">
        <v>0.34920000000000001</v>
      </c>
      <c r="W73" s="27">
        <v>2.2837000000000001</v>
      </c>
      <c r="X73" s="243">
        <v>2.01E-2</v>
      </c>
      <c r="Y73" s="210">
        <v>37</v>
      </c>
      <c r="Z73" s="27">
        <v>0.1</v>
      </c>
      <c r="AA73" s="27">
        <v>0.34920000000000001</v>
      </c>
      <c r="AB73" s="27">
        <v>2.2837000000000001</v>
      </c>
      <c r="AC73" s="27">
        <v>2.01E-2</v>
      </c>
      <c r="AD73" s="29">
        <v>29</v>
      </c>
      <c r="AE73" s="29">
        <v>0.12239999999999999</v>
      </c>
      <c r="AF73" s="29">
        <v>0.37930000000000003</v>
      </c>
      <c r="AG73" s="29">
        <v>2.5859000000000001</v>
      </c>
      <c r="AH73" s="209">
        <v>2.58E-2</v>
      </c>
      <c r="AI73" s="261">
        <f t="shared" si="4"/>
        <v>-1.1864170417612351E-2</v>
      </c>
      <c r="AJ73" s="262">
        <f t="shared" si="5"/>
        <v>-1.485752464820699E-2</v>
      </c>
      <c r="AK73" s="262">
        <f t="shared" si="6"/>
        <v>-0.18374356084000029</v>
      </c>
      <c r="AL73" s="263">
        <f t="shared" si="7"/>
        <v>-3.0079204312301413E-3</v>
      </c>
    </row>
    <row r="74" spans="1:38" x14ac:dyDescent="0.25">
      <c r="A74" s="256">
        <v>783</v>
      </c>
      <c r="B74" s="16" t="s">
        <v>26</v>
      </c>
      <c r="C74" s="24">
        <v>48682</v>
      </c>
      <c r="D74" s="255">
        <v>0.1</v>
      </c>
      <c r="E74" s="250">
        <v>42</v>
      </c>
      <c r="F74" s="27">
        <v>9.0200000000000002E-2</v>
      </c>
      <c r="G74" s="27">
        <v>0.34470000000000001</v>
      </c>
      <c r="H74" s="27">
        <v>2.141</v>
      </c>
      <c r="I74" s="27">
        <v>1.7899999999999999E-2</v>
      </c>
      <c r="J74" s="26">
        <v>40</v>
      </c>
      <c r="K74" s="27">
        <v>9.3399999999999997E-2</v>
      </c>
      <c r="L74" s="27">
        <v>0.34589999999999999</v>
      </c>
      <c r="M74" s="27">
        <v>2.1817000000000002</v>
      </c>
      <c r="N74" s="243">
        <v>1.8599999999999998E-2</v>
      </c>
      <c r="O74" s="210">
        <v>43</v>
      </c>
      <c r="P74" s="27">
        <v>8.8599999999999998E-2</v>
      </c>
      <c r="Q74" s="27">
        <v>0.34420000000000001</v>
      </c>
      <c r="R74" s="27">
        <v>2.1206</v>
      </c>
      <c r="S74" s="27">
        <v>1.7500000000000002E-2</v>
      </c>
      <c r="T74" s="29">
        <v>42</v>
      </c>
      <c r="U74" s="27">
        <v>9.0200000000000002E-2</v>
      </c>
      <c r="V74" s="27">
        <v>0.34470000000000001</v>
      </c>
      <c r="W74" s="27">
        <v>2.141</v>
      </c>
      <c r="X74" s="243">
        <v>1.7899999999999999E-2</v>
      </c>
      <c r="Y74" s="210">
        <v>36</v>
      </c>
      <c r="Z74" s="27">
        <v>0.1021</v>
      </c>
      <c r="AA74" s="27">
        <v>0.3503</v>
      </c>
      <c r="AB74" s="27">
        <v>2.3176999999999999</v>
      </c>
      <c r="AC74" s="27">
        <v>2.06E-2</v>
      </c>
      <c r="AD74" s="29">
        <v>32</v>
      </c>
      <c r="AE74" s="29">
        <v>0.1132</v>
      </c>
      <c r="AF74" s="29">
        <v>0.36530000000000001</v>
      </c>
      <c r="AG74" s="29">
        <v>2.4796999999999998</v>
      </c>
      <c r="AH74" s="209">
        <v>2.3400000000000001E-2</v>
      </c>
      <c r="AI74" s="261">
        <f t="shared" si="4"/>
        <v>-6.0332090966863389E-3</v>
      </c>
      <c r="AJ74" s="262">
        <f t="shared" si="5"/>
        <v>-5.6541170812528362E-3</v>
      </c>
      <c r="AK74" s="262">
        <f t="shared" si="6"/>
        <v>-9.1980866145000006E-2</v>
      </c>
      <c r="AL74" s="263">
        <f t="shared" si="7"/>
        <v>-1.4921706990467516E-3</v>
      </c>
    </row>
    <row r="75" spans="1:38" x14ac:dyDescent="0.25">
      <c r="A75" s="256">
        <v>783</v>
      </c>
      <c r="B75" s="16" t="s">
        <v>27</v>
      </c>
      <c r="C75" s="25">
        <v>41835</v>
      </c>
      <c r="D75" s="255">
        <v>0.4</v>
      </c>
      <c r="E75" s="250">
        <v>36</v>
      </c>
      <c r="F75" s="27">
        <v>0.1021</v>
      </c>
      <c r="G75" s="27">
        <v>0.3503</v>
      </c>
      <c r="H75" s="27">
        <v>2.3176999999999999</v>
      </c>
      <c r="I75" s="27">
        <v>2.06E-2</v>
      </c>
      <c r="J75" s="26">
        <v>42</v>
      </c>
      <c r="K75" s="27">
        <v>9.0200000000000002E-2</v>
      </c>
      <c r="L75" s="27">
        <v>0.34470000000000001</v>
      </c>
      <c r="M75" s="27">
        <v>2.141</v>
      </c>
      <c r="N75" s="243">
        <v>1.7899999999999999E-2</v>
      </c>
      <c r="O75" s="210">
        <v>42</v>
      </c>
      <c r="P75" s="27">
        <v>9.0200000000000002E-2</v>
      </c>
      <c r="Q75" s="27">
        <v>0.34470000000000001</v>
      </c>
      <c r="R75" s="27">
        <v>2.141</v>
      </c>
      <c r="S75" s="27">
        <v>1.7899999999999999E-2</v>
      </c>
      <c r="T75" s="29">
        <v>42</v>
      </c>
      <c r="U75" s="27">
        <v>9.0200000000000002E-2</v>
      </c>
      <c r="V75" s="27">
        <v>0.34470000000000001</v>
      </c>
      <c r="W75" s="27">
        <v>2.141</v>
      </c>
      <c r="X75" s="243">
        <v>1.7899999999999999E-2</v>
      </c>
      <c r="Y75" s="210">
        <v>24</v>
      </c>
      <c r="Z75" s="27">
        <v>0.1406</v>
      </c>
      <c r="AA75" s="27">
        <v>0.40560000000000002</v>
      </c>
      <c r="AB75" s="27">
        <v>2.7639999999999998</v>
      </c>
      <c r="AC75" s="27">
        <v>2.98E-2</v>
      </c>
      <c r="AD75" s="29">
        <v>30</v>
      </c>
      <c r="AE75" s="29">
        <v>0.1192</v>
      </c>
      <c r="AF75" s="29">
        <v>0.3745</v>
      </c>
      <c r="AG75" s="29">
        <v>2.5649999999999999</v>
      </c>
      <c r="AH75" s="209">
        <v>2.5000000000000001E-2</v>
      </c>
      <c r="AI75" s="261">
        <f t="shared" si="4"/>
        <v>3.3630934316840673E-2</v>
      </c>
      <c r="AJ75" s="262">
        <f t="shared" si="5"/>
        <v>3.9148292873354529E-2</v>
      </c>
      <c r="AK75" s="262">
        <f t="shared" si="6"/>
        <v>0.40498497254999971</v>
      </c>
      <c r="AL75" s="263">
        <f t="shared" si="7"/>
        <v>7.5690396277802987E-3</v>
      </c>
    </row>
    <row r="76" spans="1:38" x14ac:dyDescent="0.25">
      <c r="A76" s="256">
        <v>786</v>
      </c>
      <c r="B76" s="16" t="s">
        <v>26</v>
      </c>
      <c r="C76" s="25">
        <v>17037</v>
      </c>
      <c r="D76" s="255">
        <v>0.1</v>
      </c>
      <c r="E76" s="250">
        <v>16</v>
      </c>
      <c r="F76" s="27">
        <v>0.18990000000000001</v>
      </c>
      <c r="G76" s="27">
        <v>0.4748</v>
      </c>
      <c r="H76" s="27">
        <v>3.4178999999999999</v>
      </c>
      <c r="I76" s="27">
        <v>3.8600000000000002E-2</v>
      </c>
      <c r="J76" s="26">
        <v>37</v>
      </c>
      <c r="K76" s="27">
        <v>0.1</v>
      </c>
      <c r="L76" s="27">
        <v>0.34920000000000001</v>
      </c>
      <c r="M76" s="27">
        <v>2.2837000000000001</v>
      </c>
      <c r="N76" s="243">
        <v>2.01E-2</v>
      </c>
      <c r="O76" s="210">
        <v>13</v>
      </c>
      <c r="P76" s="27">
        <v>0.22439999999999999</v>
      </c>
      <c r="Q76" s="27">
        <v>0.51800000000000002</v>
      </c>
      <c r="R76" s="27">
        <v>3.6739000000000002</v>
      </c>
      <c r="S76" s="27">
        <v>4.4400000000000002E-2</v>
      </c>
      <c r="T76" s="29">
        <v>36</v>
      </c>
      <c r="U76" s="27">
        <v>0.1021</v>
      </c>
      <c r="V76" s="27">
        <v>0.3503</v>
      </c>
      <c r="W76" s="27">
        <v>2.3176999999999999</v>
      </c>
      <c r="X76" s="243">
        <v>2.06E-2</v>
      </c>
      <c r="Y76" s="210">
        <v>6</v>
      </c>
      <c r="Z76" s="29">
        <v>0.43080000000000002</v>
      </c>
      <c r="AA76" s="29">
        <v>0.79149999999999998</v>
      </c>
      <c r="AB76" s="29">
        <v>5.1393000000000004</v>
      </c>
      <c r="AC76" s="29">
        <v>7.8799999999999995E-2</v>
      </c>
      <c r="AD76" s="29">
        <v>22</v>
      </c>
      <c r="AE76" s="27">
        <v>0.15079999999999999</v>
      </c>
      <c r="AF76" s="27">
        <v>0.42009999999999997</v>
      </c>
      <c r="AG76" s="27">
        <v>2.9525000000000001</v>
      </c>
      <c r="AH76" s="243">
        <v>3.1699999999999999E-2</v>
      </c>
      <c r="AI76" s="261">
        <f t="shared" si="4"/>
        <v>8.4106479791193831E-2</v>
      </c>
      <c r="AJ76" s="262">
        <f t="shared" si="5"/>
        <v>0.11410942561280073</v>
      </c>
      <c r="AK76" s="262">
        <f t="shared" si="6"/>
        <v>0.92594783151000026</v>
      </c>
      <c r="AL76" s="263">
        <f t="shared" si="7"/>
        <v>1.5618242471629596E-2</v>
      </c>
    </row>
    <row r="77" spans="1:38" x14ac:dyDescent="0.25">
      <c r="A77" s="256">
        <v>786</v>
      </c>
      <c r="B77" s="16" t="s">
        <v>27</v>
      </c>
      <c r="C77" s="24">
        <v>14202</v>
      </c>
      <c r="D77" s="255">
        <v>0.1</v>
      </c>
      <c r="E77" s="250">
        <v>41</v>
      </c>
      <c r="F77" s="27">
        <v>9.1800000000000007E-2</v>
      </c>
      <c r="G77" s="27">
        <v>0.3453</v>
      </c>
      <c r="H77" s="27">
        <v>2.1613000000000002</v>
      </c>
      <c r="I77" s="27">
        <v>1.83E-2</v>
      </c>
      <c r="J77" s="26">
        <v>39</v>
      </c>
      <c r="K77" s="27">
        <v>9.5600000000000004E-2</v>
      </c>
      <c r="L77" s="27">
        <v>0.34699999999999998</v>
      </c>
      <c r="M77" s="27">
        <v>2.2157</v>
      </c>
      <c r="N77" s="243">
        <v>1.9099999999999999E-2</v>
      </c>
      <c r="O77" s="210">
        <v>45</v>
      </c>
      <c r="P77" s="27">
        <v>8.5400000000000004E-2</v>
      </c>
      <c r="Q77" s="27">
        <v>0.34310000000000002</v>
      </c>
      <c r="R77" s="27">
        <v>2.0798999999999999</v>
      </c>
      <c r="S77" s="27">
        <v>1.6799999999999999E-2</v>
      </c>
      <c r="T77" s="29">
        <v>44</v>
      </c>
      <c r="U77" s="27">
        <v>8.6999999999999994E-2</v>
      </c>
      <c r="V77" s="27">
        <v>0.34360000000000002</v>
      </c>
      <c r="W77" s="27">
        <v>2.1002999999999998</v>
      </c>
      <c r="X77" s="243">
        <v>1.72E-2</v>
      </c>
      <c r="Y77" s="210">
        <v>44</v>
      </c>
      <c r="Z77" s="27">
        <v>8.6999999999999994E-2</v>
      </c>
      <c r="AA77" s="27">
        <v>0.34360000000000002</v>
      </c>
      <c r="AB77" s="27">
        <v>2.1002999999999998</v>
      </c>
      <c r="AC77" s="27">
        <v>1.72E-2</v>
      </c>
      <c r="AD77" s="29">
        <v>44</v>
      </c>
      <c r="AE77" s="27">
        <v>8.6999999999999994E-2</v>
      </c>
      <c r="AF77" s="27">
        <v>0.34360000000000002</v>
      </c>
      <c r="AG77" s="27">
        <v>2.1002999999999998</v>
      </c>
      <c r="AH77" s="243">
        <v>1.72E-2</v>
      </c>
      <c r="AI77" s="261">
        <f t="shared" si="4"/>
        <v>-7.5767637766681491E-4</v>
      </c>
      <c r="AJ77" s="262">
        <f t="shared" si="5"/>
        <v>-2.7295173853835548E-4</v>
      </c>
      <c r="AK77" s="262">
        <f t="shared" si="6"/>
        <v>-1.1103549659999974E-2</v>
      </c>
      <c r="AL77" s="263">
        <f t="shared" si="7"/>
        <v>-1.7883044938719951E-4</v>
      </c>
    </row>
    <row r="78" spans="1:38" x14ac:dyDescent="0.25">
      <c r="A78" s="256">
        <v>832</v>
      </c>
      <c r="B78" s="16" t="s">
        <v>26</v>
      </c>
      <c r="C78" s="25">
        <v>16451</v>
      </c>
      <c r="D78" s="255">
        <v>0.9</v>
      </c>
      <c r="E78" s="250">
        <v>49</v>
      </c>
      <c r="F78" s="27">
        <v>8.0699999999999994E-2</v>
      </c>
      <c r="G78" s="27">
        <v>0.34370000000000001</v>
      </c>
      <c r="H78" s="27">
        <v>2.0550000000000002</v>
      </c>
      <c r="I78" s="27">
        <v>1.5599999999999999E-2</v>
      </c>
      <c r="J78" s="26">
        <v>51</v>
      </c>
      <c r="K78" s="27">
        <v>7.8700000000000006E-2</v>
      </c>
      <c r="L78" s="27">
        <v>0.34420000000000001</v>
      </c>
      <c r="M78" s="27">
        <v>2.0508999999999999</v>
      </c>
      <c r="N78" s="243">
        <v>1.4999999999999999E-2</v>
      </c>
      <c r="O78" s="210">
        <v>50</v>
      </c>
      <c r="P78" s="27">
        <v>7.9500000000000001E-2</v>
      </c>
      <c r="Q78" s="27">
        <v>0.34379999999999999</v>
      </c>
      <c r="R78" s="27">
        <v>2.0488</v>
      </c>
      <c r="S78" s="27">
        <v>1.52E-2</v>
      </c>
      <c r="T78" s="29">
        <v>51</v>
      </c>
      <c r="U78" s="27">
        <v>7.8700000000000006E-2</v>
      </c>
      <c r="V78" s="27">
        <v>0.34420000000000001</v>
      </c>
      <c r="W78" s="27">
        <v>2.0508999999999999</v>
      </c>
      <c r="X78" s="243">
        <v>1.4999999999999999E-2</v>
      </c>
      <c r="Y78" s="210">
        <v>40</v>
      </c>
      <c r="Z78" s="27">
        <v>9.3399999999999997E-2</v>
      </c>
      <c r="AA78" s="27">
        <v>0.34589999999999999</v>
      </c>
      <c r="AB78" s="27">
        <v>2.1817000000000002</v>
      </c>
      <c r="AC78" s="27">
        <v>1.8599999999999998E-2</v>
      </c>
      <c r="AD78" s="29">
        <v>48</v>
      </c>
      <c r="AE78" s="27">
        <v>8.1900000000000001E-2</v>
      </c>
      <c r="AF78" s="27">
        <v>0.34350000000000003</v>
      </c>
      <c r="AG78" s="27">
        <v>2.0611999999999999</v>
      </c>
      <c r="AH78" s="243">
        <v>1.5900000000000001E-2</v>
      </c>
      <c r="AI78" s="261">
        <f t="shared" si="4"/>
        <v>1.5307270921470696E-2</v>
      </c>
      <c r="AJ78" s="262">
        <f t="shared" si="5"/>
        <v>7.1139560372211882E-4</v>
      </c>
      <c r="AK78" s="262">
        <f t="shared" si="6"/>
        <v>0.12618698422500049</v>
      </c>
      <c r="AL78" s="263">
        <f t="shared" si="7"/>
        <v>3.7286941988197912E-3</v>
      </c>
    </row>
    <row r="79" spans="1:38" x14ac:dyDescent="0.25">
      <c r="A79" s="256">
        <v>832</v>
      </c>
      <c r="B79" s="16" t="s">
        <v>27</v>
      </c>
      <c r="C79" s="25">
        <v>15451</v>
      </c>
      <c r="D79" s="255">
        <v>0.1</v>
      </c>
      <c r="E79" s="250">
        <v>22</v>
      </c>
      <c r="F79" s="27">
        <v>0.15079999999999999</v>
      </c>
      <c r="G79" s="27">
        <v>0.42009999999999997</v>
      </c>
      <c r="H79" s="27">
        <v>2.9525000000000001</v>
      </c>
      <c r="I79" s="27">
        <v>3.1699999999999999E-2</v>
      </c>
      <c r="J79" s="26">
        <v>38</v>
      </c>
      <c r="K79" s="27">
        <v>9.7799999999999998E-2</v>
      </c>
      <c r="L79" s="27">
        <v>0.34810000000000002</v>
      </c>
      <c r="M79" s="27">
        <v>2.2496999999999998</v>
      </c>
      <c r="N79" s="243">
        <v>1.9599999999999999E-2</v>
      </c>
      <c r="O79" s="210">
        <v>19</v>
      </c>
      <c r="P79" s="29">
        <v>0.16830000000000001</v>
      </c>
      <c r="Q79" s="29">
        <v>0.4446</v>
      </c>
      <c r="R79" s="29">
        <v>3.2101999999999999</v>
      </c>
      <c r="S79" s="29">
        <v>3.49E-2</v>
      </c>
      <c r="T79" s="29">
        <v>28</v>
      </c>
      <c r="U79" s="27">
        <v>0.12570000000000001</v>
      </c>
      <c r="V79" s="27">
        <v>0.3841</v>
      </c>
      <c r="W79" s="27">
        <v>2.6069</v>
      </c>
      <c r="X79" s="243">
        <v>2.6499999999999999E-2</v>
      </c>
      <c r="Y79" s="210">
        <v>17</v>
      </c>
      <c r="Z79" s="27">
        <v>0.1827</v>
      </c>
      <c r="AA79" s="27">
        <v>0.4647</v>
      </c>
      <c r="AB79" s="27">
        <v>3.3487</v>
      </c>
      <c r="AC79" s="27">
        <v>3.7400000000000003E-2</v>
      </c>
      <c r="AD79" s="29">
        <v>22</v>
      </c>
      <c r="AE79" s="27">
        <v>0.15079999999999999</v>
      </c>
      <c r="AF79" s="27">
        <v>0.42009999999999997</v>
      </c>
      <c r="AG79" s="27">
        <v>2.9525000000000001</v>
      </c>
      <c r="AH79" s="243">
        <v>3.1699999999999999E-2</v>
      </c>
      <c r="AI79" s="261">
        <f t="shared" si="4"/>
        <v>2.1513992038129825E-2</v>
      </c>
      <c r="AJ79" s="262">
        <f t="shared" si="5"/>
        <v>3.0230691572855205E-2</v>
      </c>
      <c r="AK79" s="262">
        <f t="shared" si="6"/>
        <v>0.3252958130075001</v>
      </c>
      <c r="AL79" s="263">
        <f t="shared" si="7"/>
        <v>4.308430342714482E-3</v>
      </c>
    </row>
    <row r="80" spans="1:38" x14ac:dyDescent="0.25">
      <c r="A80" s="256">
        <v>922</v>
      </c>
      <c r="B80" s="16" t="s">
        <v>26</v>
      </c>
      <c r="C80" s="25">
        <v>44086</v>
      </c>
      <c r="D80" s="255">
        <v>0.3</v>
      </c>
      <c r="E80" s="250">
        <v>46</v>
      </c>
      <c r="F80" s="27">
        <v>8.4199999999999997E-2</v>
      </c>
      <c r="G80" s="27">
        <v>0.34320000000000001</v>
      </c>
      <c r="H80" s="27">
        <v>2.0737000000000001</v>
      </c>
      <c r="I80" s="27">
        <v>1.6500000000000001E-2</v>
      </c>
      <c r="J80" s="26">
        <v>47</v>
      </c>
      <c r="K80" s="27">
        <v>8.3000000000000004E-2</v>
      </c>
      <c r="L80" s="27">
        <v>0.34339999999999998</v>
      </c>
      <c r="M80" s="27">
        <v>2.0674999999999999</v>
      </c>
      <c r="N80" s="243">
        <v>1.6199999999999999E-2</v>
      </c>
      <c r="O80" s="210">
        <v>42</v>
      </c>
      <c r="P80" s="27">
        <v>9.0200000000000002E-2</v>
      </c>
      <c r="Q80" s="27">
        <v>0.34470000000000001</v>
      </c>
      <c r="R80" s="27">
        <v>2.141</v>
      </c>
      <c r="S80" s="27">
        <v>1.7899999999999999E-2</v>
      </c>
      <c r="T80" s="29">
        <v>43</v>
      </c>
      <c r="U80" s="27">
        <v>8.8599999999999998E-2</v>
      </c>
      <c r="V80" s="27">
        <v>0.34420000000000001</v>
      </c>
      <c r="W80" s="27">
        <v>2.1206</v>
      </c>
      <c r="X80" s="243">
        <v>1.7500000000000002E-2</v>
      </c>
      <c r="Y80" s="210">
        <v>31</v>
      </c>
      <c r="Z80" s="27">
        <v>0.1162</v>
      </c>
      <c r="AA80" s="27">
        <v>0.36990000000000001</v>
      </c>
      <c r="AB80" s="27">
        <v>2.5223</v>
      </c>
      <c r="AC80" s="27">
        <v>2.4199999999999999E-2</v>
      </c>
      <c r="AD80" s="29">
        <v>31</v>
      </c>
      <c r="AE80" s="27">
        <v>0.1162</v>
      </c>
      <c r="AF80" s="27">
        <v>0.36990000000000001</v>
      </c>
      <c r="AG80" s="27">
        <v>2.5223</v>
      </c>
      <c r="AH80" s="243">
        <v>2.4199999999999999E-2</v>
      </c>
      <c r="AI80" s="261">
        <f t="shared" si="4"/>
        <v>5.3467532818883409E-3</v>
      </c>
      <c r="AJ80" s="262">
        <f t="shared" si="5"/>
        <v>1.2928624738992442E-3</v>
      </c>
      <c r="AK80" s="262">
        <f t="shared" si="6"/>
        <v>6.8501047230000056E-2</v>
      </c>
      <c r="AL80" s="263">
        <f t="shared" si="7"/>
        <v>1.3366883204720776E-3</v>
      </c>
    </row>
    <row r="81" spans="1:38" x14ac:dyDescent="0.25">
      <c r="A81" s="256">
        <v>922</v>
      </c>
      <c r="B81" s="16" t="s">
        <v>27</v>
      </c>
      <c r="C81" s="25">
        <v>42484</v>
      </c>
      <c r="D81" s="255">
        <v>0.1</v>
      </c>
      <c r="E81" s="250">
        <v>42</v>
      </c>
      <c r="F81" s="27">
        <v>9.0200000000000002E-2</v>
      </c>
      <c r="G81" s="27">
        <v>0.34470000000000001</v>
      </c>
      <c r="H81" s="27">
        <v>2.141</v>
      </c>
      <c r="I81" s="27">
        <v>1.7899999999999999E-2</v>
      </c>
      <c r="J81" s="26">
        <v>43</v>
      </c>
      <c r="K81" s="27">
        <v>8.8599999999999998E-2</v>
      </c>
      <c r="L81" s="27">
        <v>0.34420000000000001</v>
      </c>
      <c r="M81" s="27">
        <v>2.1206</v>
      </c>
      <c r="N81" s="243">
        <v>1.7500000000000002E-2</v>
      </c>
      <c r="O81" s="210">
        <v>38</v>
      </c>
      <c r="P81" s="27">
        <v>9.7799999999999998E-2</v>
      </c>
      <c r="Q81" s="27">
        <v>0.34810000000000002</v>
      </c>
      <c r="R81" s="27">
        <v>2.2496999999999998</v>
      </c>
      <c r="S81" s="27">
        <v>1.9599999999999999E-2</v>
      </c>
      <c r="T81" s="29">
        <v>37</v>
      </c>
      <c r="U81" s="27">
        <v>0.1</v>
      </c>
      <c r="V81" s="27">
        <v>0.34920000000000001</v>
      </c>
      <c r="W81" s="27">
        <v>2.2837000000000001</v>
      </c>
      <c r="X81" s="243">
        <v>2.01E-2</v>
      </c>
      <c r="Y81" s="210">
        <v>30</v>
      </c>
      <c r="Z81" s="29">
        <v>0.1192</v>
      </c>
      <c r="AA81" s="29">
        <v>0.3745</v>
      </c>
      <c r="AB81" s="29">
        <v>2.5649999999999999</v>
      </c>
      <c r="AC81" s="29">
        <v>2.5000000000000001E-2</v>
      </c>
      <c r="AD81" s="29">
        <v>32</v>
      </c>
      <c r="AE81" s="29">
        <v>0.1132</v>
      </c>
      <c r="AF81" s="29">
        <v>0.36530000000000001</v>
      </c>
      <c r="AG81" s="29">
        <v>2.4796999999999998</v>
      </c>
      <c r="AH81" s="209">
        <v>2.3400000000000001E-2</v>
      </c>
      <c r="AI81" s="261">
        <f t="shared" si="4"/>
        <v>1.4077766681793123E-5</v>
      </c>
      <c r="AJ81" s="262">
        <f t="shared" si="5"/>
        <v>1.6893320018157116E-3</v>
      </c>
      <c r="AK81" s="262">
        <f t="shared" si="6"/>
        <v>-3.070318680000214E-3</v>
      </c>
      <c r="AL81" s="263">
        <f t="shared" si="7"/>
        <v>7.7427716749885791E-5</v>
      </c>
    </row>
    <row r="82" spans="1:38" x14ac:dyDescent="0.25">
      <c r="A82" s="256">
        <v>923</v>
      </c>
      <c r="B82" s="16" t="s">
        <v>26</v>
      </c>
      <c r="C82" s="25">
        <v>44086</v>
      </c>
      <c r="D82" s="255">
        <v>0.1</v>
      </c>
      <c r="E82" s="250">
        <v>43</v>
      </c>
      <c r="F82" s="27">
        <v>8.8599999999999998E-2</v>
      </c>
      <c r="G82" s="27">
        <v>0.34420000000000001</v>
      </c>
      <c r="H82" s="27">
        <v>2.1206</v>
      </c>
      <c r="I82" s="27">
        <v>1.7500000000000002E-2</v>
      </c>
      <c r="J82" s="26">
        <v>44</v>
      </c>
      <c r="K82" s="27">
        <v>8.6999999999999994E-2</v>
      </c>
      <c r="L82" s="27">
        <v>0.34360000000000002</v>
      </c>
      <c r="M82" s="27">
        <v>2.1002999999999998</v>
      </c>
      <c r="N82" s="243">
        <v>1.72E-2</v>
      </c>
      <c r="O82" s="210">
        <v>42</v>
      </c>
      <c r="P82" s="27">
        <v>9.0200000000000002E-2</v>
      </c>
      <c r="Q82" s="27">
        <v>0.34470000000000001</v>
      </c>
      <c r="R82" s="27">
        <v>2.141</v>
      </c>
      <c r="S82" s="27">
        <v>1.7899999999999999E-2</v>
      </c>
      <c r="T82" s="29">
        <v>42</v>
      </c>
      <c r="U82" s="27">
        <v>9.0200000000000002E-2</v>
      </c>
      <c r="V82" s="27">
        <v>0.34470000000000001</v>
      </c>
      <c r="W82" s="27">
        <v>2.141</v>
      </c>
      <c r="X82" s="243">
        <v>1.7899999999999999E-2</v>
      </c>
      <c r="Y82" s="210">
        <v>34</v>
      </c>
      <c r="Z82" s="27">
        <v>0.10730000000000001</v>
      </c>
      <c r="AA82" s="27">
        <v>0.35599999999999998</v>
      </c>
      <c r="AB82" s="27">
        <v>2.3944000000000001</v>
      </c>
      <c r="AC82" s="27">
        <v>2.18E-2</v>
      </c>
      <c r="AD82" s="29">
        <v>34</v>
      </c>
      <c r="AE82" s="27">
        <v>0.10730000000000001</v>
      </c>
      <c r="AF82" s="27">
        <v>0.35599999999999998</v>
      </c>
      <c r="AG82" s="27">
        <v>2.3944000000000001</v>
      </c>
      <c r="AH82" s="243">
        <v>2.18E-2</v>
      </c>
      <c r="AI82" s="261">
        <f t="shared" si="4"/>
        <v>3.5060677258284253E-4</v>
      </c>
      <c r="AJ82" s="262">
        <f t="shared" si="5"/>
        <v>1.3147753971856329E-4</v>
      </c>
      <c r="AK82" s="262">
        <f t="shared" si="6"/>
        <v>4.8998282550000499E-3</v>
      </c>
      <c r="AL82" s="263">
        <f t="shared" si="7"/>
        <v>6.5738769859283161E-5</v>
      </c>
    </row>
    <row r="83" spans="1:38" x14ac:dyDescent="0.25">
      <c r="A83" s="256">
        <v>923</v>
      </c>
      <c r="B83" s="16" t="s">
        <v>27</v>
      </c>
      <c r="C83" s="25">
        <v>42484</v>
      </c>
      <c r="D83" s="255">
        <v>0.4</v>
      </c>
      <c r="E83" s="250">
        <v>43</v>
      </c>
      <c r="F83" s="27">
        <v>8.8599999999999998E-2</v>
      </c>
      <c r="G83" s="27">
        <v>0.34420000000000001</v>
      </c>
      <c r="H83" s="27">
        <v>2.1206</v>
      </c>
      <c r="I83" s="27">
        <v>1.7500000000000002E-2</v>
      </c>
      <c r="J83" s="26">
        <v>43</v>
      </c>
      <c r="K83" s="27">
        <v>8.8599999999999998E-2</v>
      </c>
      <c r="L83" s="27">
        <v>0.34420000000000001</v>
      </c>
      <c r="M83" s="27">
        <v>2.1206</v>
      </c>
      <c r="N83" s="243">
        <v>1.7500000000000002E-2</v>
      </c>
      <c r="O83" s="210">
        <v>44</v>
      </c>
      <c r="P83" s="27">
        <v>8.6999999999999994E-2</v>
      </c>
      <c r="Q83" s="27">
        <v>0.34360000000000002</v>
      </c>
      <c r="R83" s="27">
        <v>2.1002999999999998</v>
      </c>
      <c r="S83" s="27">
        <v>1.72E-2</v>
      </c>
      <c r="T83" s="29">
        <v>44</v>
      </c>
      <c r="U83" s="27">
        <v>8.6999999999999994E-2</v>
      </c>
      <c r="V83" s="27">
        <v>0.34360000000000002</v>
      </c>
      <c r="W83" s="27">
        <v>2.1002999999999998</v>
      </c>
      <c r="X83" s="243">
        <v>1.72E-2</v>
      </c>
      <c r="Y83" s="210">
        <v>30</v>
      </c>
      <c r="Z83" s="29">
        <v>0.1192</v>
      </c>
      <c r="AA83" s="29">
        <v>0.3745</v>
      </c>
      <c r="AB83" s="29">
        <v>2.5649999999999999</v>
      </c>
      <c r="AC83" s="29">
        <v>2.5000000000000001E-2</v>
      </c>
      <c r="AD83" s="29">
        <v>33</v>
      </c>
      <c r="AE83" s="27">
        <v>0.1103</v>
      </c>
      <c r="AF83" s="27">
        <v>0.36059999999999998</v>
      </c>
      <c r="AG83" s="27">
        <v>2.4369999999999998</v>
      </c>
      <c r="AH83" s="243">
        <v>2.2599999999999999E-2</v>
      </c>
      <c r="AI83" s="261">
        <f t="shared" si="4"/>
        <v>1.0023369877439861E-2</v>
      </c>
      <c r="AJ83" s="262">
        <f t="shared" si="5"/>
        <v>1.5654476550158905E-2</v>
      </c>
      <c r="AK83" s="262">
        <f t="shared" si="6"/>
        <v>0.15878819840000016</v>
      </c>
      <c r="AL83" s="263">
        <f t="shared" si="7"/>
        <v>2.7029312029051332E-3</v>
      </c>
    </row>
    <row r="84" spans="1:38" x14ac:dyDescent="0.25">
      <c r="A84" s="256">
        <v>977</v>
      </c>
      <c r="B84" s="16" t="s">
        <v>26</v>
      </c>
      <c r="C84" s="25">
        <v>48127</v>
      </c>
      <c r="D84" s="255">
        <v>0.1</v>
      </c>
      <c r="E84" s="250">
        <v>34</v>
      </c>
      <c r="F84" s="27">
        <v>0.10730000000000001</v>
      </c>
      <c r="G84" s="27">
        <v>0.35599999999999998</v>
      </c>
      <c r="H84" s="27">
        <v>2.3944000000000001</v>
      </c>
      <c r="I84" s="27">
        <v>2.18E-2</v>
      </c>
      <c r="J84" s="26">
        <v>39</v>
      </c>
      <c r="K84" s="27">
        <v>9.5600000000000004E-2</v>
      </c>
      <c r="L84" s="27">
        <v>0.34699999999999998</v>
      </c>
      <c r="M84" s="27">
        <v>2.2157</v>
      </c>
      <c r="N84" s="243">
        <v>1.9099999999999999E-2</v>
      </c>
      <c r="O84" s="210">
        <v>7</v>
      </c>
      <c r="P84" s="27">
        <v>0.38940000000000002</v>
      </c>
      <c r="Q84" s="27">
        <v>0.73560000000000003</v>
      </c>
      <c r="R84" s="27">
        <v>4.843</v>
      </c>
      <c r="S84" s="27">
        <v>7.1800000000000003E-2</v>
      </c>
      <c r="T84" s="29">
        <v>9</v>
      </c>
      <c r="U84" s="27">
        <v>0.30659999999999998</v>
      </c>
      <c r="V84" s="27">
        <v>0.62370000000000003</v>
      </c>
      <c r="W84" s="27">
        <v>4.2503000000000002</v>
      </c>
      <c r="X84" s="243">
        <v>5.8000000000000003E-2</v>
      </c>
      <c r="Y84" s="210">
        <v>4</v>
      </c>
      <c r="Z84" s="27">
        <v>0.68359999999999999</v>
      </c>
      <c r="AA84" s="27">
        <v>1.16415</v>
      </c>
      <c r="AB84" s="27">
        <v>6.9811500000000004</v>
      </c>
      <c r="AC84" s="27">
        <v>0.1217</v>
      </c>
      <c r="AD84" s="29">
        <v>5</v>
      </c>
      <c r="AE84" s="29">
        <v>0.4723</v>
      </c>
      <c r="AF84" s="29">
        <v>0.84740000000000004</v>
      </c>
      <c r="AG84" s="29">
        <v>5.4356</v>
      </c>
      <c r="AH84" s="209">
        <v>8.5699999999999998E-2</v>
      </c>
      <c r="AI84" s="261">
        <f t="shared" si="4"/>
        <v>0.1560239983136632</v>
      </c>
      <c r="AJ84" s="262">
        <f t="shared" si="5"/>
        <v>0.21917675891284613</v>
      </c>
      <c r="AK84" s="262">
        <f t="shared" si="6"/>
        <v>1.2668328235350002</v>
      </c>
      <c r="AL84" s="263">
        <f t="shared" si="7"/>
        <v>2.6433257750794369E-2</v>
      </c>
    </row>
    <row r="85" spans="1:38" x14ac:dyDescent="0.25">
      <c r="A85" s="256">
        <v>977</v>
      </c>
      <c r="B85" s="16" t="s">
        <v>27</v>
      </c>
      <c r="C85" s="25">
        <v>46715</v>
      </c>
      <c r="D85" s="255">
        <v>0.2</v>
      </c>
      <c r="E85" s="250">
        <v>32</v>
      </c>
      <c r="F85" s="27">
        <v>0.1132</v>
      </c>
      <c r="G85" s="27">
        <v>0.36530000000000001</v>
      </c>
      <c r="H85" s="27">
        <v>2.4796999999999998</v>
      </c>
      <c r="I85" s="27">
        <v>2.3400000000000001E-2</v>
      </c>
      <c r="J85" s="26">
        <v>23</v>
      </c>
      <c r="K85" s="27">
        <v>0.1457</v>
      </c>
      <c r="L85" s="27">
        <v>0.4128</v>
      </c>
      <c r="M85" s="27">
        <v>2.8582000000000001</v>
      </c>
      <c r="N85" s="243">
        <v>3.0800000000000001E-2</v>
      </c>
      <c r="O85" s="210">
        <v>42</v>
      </c>
      <c r="P85" s="27">
        <v>9.0200000000000002E-2</v>
      </c>
      <c r="Q85" s="27">
        <v>0.34470000000000001</v>
      </c>
      <c r="R85" s="27">
        <v>2.141</v>
      </c>
      <c r="S85" s="27">
        <v>1.7899999999999999E-2</v>
      </c>
      <c r="T85" s="29">
        <v>42</v>
      </c>
      <c r="U85" s="27">
        <v>9.0200000000000002E-2</v>
      </c>
      <c r="V85" s="27">
        <v>0.34470000000000001</v>
      </c>
      <c r="W85" s="27">
        <v>2.141</v>
      </c>
      <c r="X85" s="243">
        <v>1.7899999999999999E-2</v>
      </c>
      <c r="Y85" s="210">
        <v>32</v>
      </c>
      <c r="Z85" s="29">
        <v>0.1132</v>
      </c>
      <c r="AA85" s="29">
        <v>0.36530000000000001</v>
      </c>
      <c r="AB85" s="29">
        <v>2.4796999999999998</v>
      </c>
      <c r="AC85" s="29">
        <v>2.3400000000000001E-2</v>
      </c>
      <c r="AD85" s="29">
        <v>22</v>
      </c>
      <c r="AE85" s="27">
        <v>0.15079999999999999</v>
      </c>
      <c r="AF85" s="27">
        <v>0.42009999999999997</v>
      </c>
      <c r="AG85" s="27">
        <v>2.9525000000000001</v>
      </c>
      <c r="AH85" s="243">
        <v>3.1699999999999999E-2</v>
      </c>
      <c r="AI85" s="261">
        <f t="shared" si="4"/>
        <v>-3.8374368610985025E-2</v>
      </c>
      <c r="AJ85" s="262">
        <f t="shared" si="5"/>
        <v>-5.5990355492510191E-2</v>
      </c>
      <c r="AK85" s="262">
        <f t="shared" si="6"/>
        <v>-0.51608186032500036</v>
      </c>
      <c r="AL85" s="263">
        <f t="shared" si="7"/>
        <v>-8.5757967771221046E-3</v>
      </c>
    </row>
    <row r="86" spans="1:38" x14ac:dyDescent="0.25">
      <c r="A86" s="256">
        <v>978</v>
      </c>
      <c r="B86" s="16" t="s">
        <v>26</v>
      </c>
      <c r="C86" s="25">
        <v>2156</v>
      </c>
      <c r="D86" s="255">
        <v>0.2</v>
      </c>
      <c r="E86" s="250">
        <v>20</v>
      </c>
      <c r="F86" s="27">
        <v>0.161</v>
      </c>
      <c r="G86" s="27">
        <v>0.43459999999999999</v>
      </c>
      <c r="H86" s="27">
        <v>3.1408999999999998</v>
      </c>
      <c r="I86" s="27">
        <v>3.3599999999999998E-2</v>
      </c>
      <c r="J86" s="26">
        <v>35</v>
      </c>
      <c r="K86" s="27">
        <v>0.1043</v>
      </c>
      <c r="L86" s="27">
        <v>0.35139999999999999</v>
      </c>
      <c r="M86" s="27">
        <v>2.3517999999999999</v>
      </c>
      <c r="N86" s="243">
        <v>2.1000000000000001E-2</v>
      </c>
      <c r="O86" s="210">
        <v>6</v>
      </c>
      <c r="P86" s="29">
        <v>0.43080000000000002</v>
      </c>
      <c r="Q86" s="29">
        <v>0.79149999999999998</v>
      </c>
      <c r="R86" s="29">
        <v>5.1393000000000004</v>
      </c>
      <c r="S86" s="29">
        <v>7.8799999999999995E-2</v>
      </c>
      <c r="T86" s="29">
        <v>9</v>
      </c>
      <c r="U86" s="27">
        <v>0.30659999999999998</v>
      </c>
      <c r="V86" s="27">
        <v>0.62370000000000003</v>
      </c>
      <c r="W86" s="27">
        <v>4.2503000000000002</v>
      </c>
      <c r="X86" s="243">
        <v>5.8000000000000003E-2</v>
      </c>
      <c r="Y86" s="210">
        <v>5</v>
      </c>
      <c r="Z86" s="29">
        <v>0.4723</v>
      </c>
      <c r="AA86" s="29">
        <v>0.84740000000000004</v>
      </c>
      <c r="AB86" s="29">
        <v>5.4356</v>
      </c>
      <c r="AC86" s="29">
        <v>8.5699999999999998E-2</v>
      </c>
      <c r="AD86" s="29">
        <v>7</v>
      </c>
      <c r="AE86" s="27">
        <v>0.38940000000000002</v>
      </c>
      <c r="AF86" s="27">
        <v>0.73560000000000003</v>
      </c>
      <c r="AG86" s="27">
        <v>4.843</v>
      </c>
      <c r="AH86" s="243">
        <v>7.1800000000000003E-2</v>
      </c>
      <c r="AI86" s="261">
        <f t="shared" si="4"/>
        <v>1.5119392846118931E-2</v>
      </c>
      <c r="AJ86" s="262">
        <f t="shared" si="5"/>
        <v>2.0562602886972307E-2</v>
      </c>
      <c r="AK86" s="262">
        <f t="shared" si="6"/>
        <v>0.12822951218000003</v>
      </c>
      <c r="AL86" s="263">
        <f t="shared" si="7"/>
        <v>2.5990809986382204E-3</v>
      </c>
    </row>
    <row r="87" spans="1:38" x14ac:dyDescent="0.25">
      <c r="A87" s="256">
        <v>978</v>
      </c>
      <c r="B87" s="16" t="s">
        <v>27</v>
      </c>
      <c r="C87" s="25">
        <v>46715</v>
      </c>
      <c r="D87" s="255">
        <v>0.01</v>
      </c>
      <c r="E87" s="250">
        <v>22</v>
      </c>
      <c r="F87" s="27">
        <v>0.15079999999999999</v>
      </c>
      <c r="G87" s="27">
        <v>0.42009999999999997</v>
      </c>
      <c r="H87" s="27">
        <v>2.9525000000000001</v>
      </c>
      <c r="I87" s="27">
        <v>3.1699999999999999E-2</v>
      </c>
      <c r="J87" s="26">
        <v>24</v>
      </c>
      <c r="K87" s="27">
        <v>0.1406</v>
      </c>
      <c r="L87" s="27">
        <v>0.40560000000000002</v>
      </c>
      <c r="M87" s="27">
        <v>2.7639999999999998</v>
      </c>
      <c r="N87" s="243">
        <v>2.98E-2</v>
      </c>
      <c r="O87" s="210">
        <v>30</v>
      </c>
      <c r="P87" s="27">
        <v>0.1192</v>
      </c>
      <c r="Q87" s="27">
        <v>0.3745</v>
      </c>
      <c r="R87" s="27">
        <v>2.5649999999999999</v>
      </c>
      <c r="S87" s="27">
        <v>2.5000000000000001E-2</v>
      </c>
      <c r="T87" s="29">
        <v>31</v>
      </c>
      <c r="U87" s="27">
        <v>0.1162</v>
      </c>
      <c r="V87" s="27">
        <v>0.36990000000000001</v>
      </c>
      <c r="W87" s="27">
        <v>2.5223</v>
      </c>
      <c r="X87" s="243">
        <v>2.4199999999999999E-2</v>
      </c>
      <c r="Y87" s="210">
        <v>14</v>
      </c>
      <c r="Z87" s="29">
        <v>0.21079999999999999</v>
      </c>
      <c r="AA87" s="29">
        <v>0.50139999999999996</v>
      </c>
      <c r="AB87" s="29">
        <v>3.5804999999999998</v>
      </c>
      <c r="AC87" s="29">
        <v>4.2099999999999999E-2</v>
      </c>
      <c r="AD87" s="29">
        <v>14</v>
      </c>
      <c r="AE87" s="29">
        <v>0.21079999999999999</v>
      </c>
      <c r="AF87" s="29">
        <v>0.50139999999999996</v>
      </c>
      <c r="AG87" s="29">
        <v>3.5804999999999998</v>
      </c>
      <c r="AH87" s="209">
        <v>4.2099999999999999E-2</v>
      </c>
      <c r="AI87" s="261">
        <f t="shared" si="4"/>
        <v>5.3869625964593731E-4</v>
      </c>
      <c r="AJ87" s="262">
        <f t="shared" si="5"/>
        <v>7.9953051180208651E-4</v>
      </c>
      <c r="AK87" s="262">
        <f t="shared" si="6"/>
        <v>9.5536612925000049E-3</v>
      </c>
      <c r="AL87" s="263">
        <f t="shared" si="7"/>
        <v>1.2461220948706327E-4</v>
      </c>
    </row>
    <row r="88" spans="1:38" x14ac:dyDescent="0.25">
      <c r="A88" s="256">
        <v>2091</v>
      </c>
      <c r="B88" s="16" t="s">
        <v>26</v>
      </c>
      <c r="C88" s="24">
        <v>18401</v>
      </c>
      <c r="D88" s="255">
        <v>0.01</v>
      </c>
      <c r="E88" s="250">
        <v>26</v>
      </c>
      <c r="F88" s="27">
        <v>0.13222999999999999</v>
      </c>
      <c r="G88" s="27">
        <v>0.39360000000000001</v>
      </c>
      <c r="H88" s="27">
        <v>2.6488</v>
      </c>
      <c r="I88" s="27">
        <v>2.81E-2</v>
      </c>
      <c r="J88" s="26">
        <v>18</v>
      </c>
      <c r="K88" s="27">
        <v>0.17549999999999999</v>
      </c>
      <c r="L88" s="27">
        <v>0.45469999999999999</v>
      </c>
      <c r="M88" s="27">
        <v>3.2793999999999999</v>
      </c>
      <c r="N88" s="243">
        <v>3.61E-2</v>
      </c>
      <c r="O88" s="210">
        <v>25</v>
      </c>
      <c r="P88" s="29">
        <v>0.1356</v>
      </c>
      <c r="Q88" s="29">
        <v>0.39829999999999999</v>
      </c>
      <c r="R88" s="29">
        <v>2.6698</v>
      </c>
      <c r="S88" s="29">
        <v>2.8899999999999999E-2</v>
      </c>
      <c r="T88" s="29">
        <v>20</v>
      </c>
      <c r="U88" s="27">
        <v>0.161</v>
      </c>
      <c r="V88" s="27">
        <v>0.43459999999999999</v>
      </c>
      <c r="W88" s="27">
        <v>3.1408999999999998</v>
      </c>
      <c r="X88" s="243">
        <v>3.3599999999999998E-2</v>
      </c>
      <c r="Y88" s="210">
        <v>23</v>
      </c>
      <c r="Z88" s="27">
        <v>0.1457</v>
      </c>
      <c r="AA88" s="27">
        <v>0.4128</v>
      </c>
      <c r="AB88" s="27">
        <v>2.8582000000000001</v>
      </c>
      <c r="AC88" s="27">
        <v>3.0800000000000001E-2</v>
      </c>
      <c r="AD88" s="29">
        <v>18</v>
      </c>
      <c r="AE88" s="27">
        <v>0.17549999999999999</v>
      </c>
      <c r="AF88" s="27">
        <v>0.45469999999999999</v>
      </c>
      <c r="AG88" s="27">
        <v>3.2793999999999999</v>
      </c>
      <c r="AH88" s="243">
        <v>3.61E-2</v>
      </c>
      <c r="AI88" s="261">
        <f t="shared" si="4"/>
        <v>-1.7658582712891512E-3</v>
      </c>
      <c r="AJ88" s="262">
        <f t="shared" si="5"/>
        <v>-2.508499828415796E-3</v>
      </c>
      <c r="AK88" s="262">
        <f t="shared" si="6"/>
        <v>-3.2577392614249988E-2</v>
      </c>
      <c r="AL88" s="263">
        <f t="shared" si="7"/>
        <v>-3.2408061711302764E-4</v>
      </c>
    </row>
    <row r="89" spans="1:38" x14ac:dyDescent="0.25">
      <c r="A89" s="256">
        <v>2091</v>
      </c>
      <c r="B89" s="16" t="s">
        <v>27</v>
      </c>
      <c r="C89" s="24">
        <v>14202</v>
      </c>
      <c r="D89" s="255">
        <v>0.1</v>
      </c>
      <c r="E89" s="250">
        <v>13</v>
      </c>
      <c r="F89" s="27">
        <v>0.22439999999999999</v>
      </c>
      <c r="G89" s="27">
        <v>0.51800000000000002</v>
      </c>
      <c r="H89" s="27">
        <v>3.6739000000000002</v>
      </c>
      <c r="I89" s="27">
        <v>4.4400000000000002E-2</v>
      </c>
      <c r="J89" s="26">
        <v>7</v>
      </c>
      <c r="K89" s="27">
        <v>0.38940000000000002</v>
      </c>
      <c r="L89" s="27">
        <v>0.73560000000000003</v>
      </c>
      <c r="M89" s="27">
        <v>4.843</v>
      </c>
      <c r="N89" s="243">
        <v>7.1800000000000003E-2</v>
      </c>
      <c r="O89" s="210">
        <v>19</v>
      </c>
      <c r="P89" s="29">
        <v>0.16830000000000001</v>
      </c>
      <c r="Q89" s="29">
        <v>0.4446</v>
      </c>
      <c r="R89" s="29">
        <v>3.2101999999999999</v>
      </c>
      <c r="S89" s="29">
        <v>3.49E-2</v>
      </c>
      <c r="T89" s="29">
        <v>9</v>
      </c>
      <c r="U89" s="27">
        <v>0.30659999999999998</v>
      </c>
      <c r="V89" s="27">
        <v>0.62370000000000003</v>
      </c>
      <c r="W89" s="27">
        <v>4.2503000000000002</v>
      </c>
      <c r="X89" s="243">
        <v>5.8000000000000003E-2</v>
      </c>
      <c r="Y89" s="210">
        <v>14</v>
      </c>
      <c r="Z89" s="29">
        <v>0.21079999999999999</v>
      </c>
      <c r="AA89" s="29">
        <v>0.50139999999999996</v>
      </c>
      <c r="AB89" s="29">
        <v>3.5804999999999998</v>
      </c>
      <c r="AC89" s="29">
        <v>4.2099999999999999E-2</v>
      </c>
      <c r="AD89" s="29">
        <v>11</v>
      </c>
      <c r="AE89" s="29">
        <v>0.25159999999999999</v>
      </c>
      <c r="AF89" s="29">
        <v>0.55110000000000003</v>
      </c>
      <c r="AG89" s="29">
        <v>3.8605999999999998</v>
      </c>
      <c r="AH89" s="209">
        <v>4.8800000000000003E-2</v>
      </c>
      <c r="AI89" s="261">
        <f t="shared" si="4"/>
        <v>-5.7792824571039486E-2</v>
      </c>
      <c r="AJ89" s="262">
        <f t="shared" si="5"/>
        <v>-7.4824071842941459E-2</v>
      </c>
      <c r="AK89" s="262">
        <f t="shared" si="6"/>
        <v>-0.47039757885000011</v>
      </c>
      <c r="AL89" s="263">
        <f t="shared" si="7"/>
        <v>-9.630960912392194E-3</v>
      </c>
    </row>
    <row r="90" spans="1:38" x14ac:dyDescent="0.25">
      <c r="A90" s="256">
        <v>2092</v>
      </c>
      <c r="B90" s="16" t="s">
        <v>26</v>
      </c>
      <c r="C90" s="24">
        <v>18401</v>
      </c>
      <c r="D90" s="255">
        <v>0.1</v>
      </c>
      <c r="E90" s="250">
        <v>13</v>
      </c>
      <c r="F90" s="27">
        <v>0.22439999999999999</v>
      </c>
      <c r="G90" s="27">
        <v>0.51800000000000002</v>
      </c>
      <c r="H90" s="27">
        <v>3.6739000000000002</v>
      </c>
      <c r="I90" s="27">
        <v>4.4400000000000002E-2</v>
      </c>
      <c r="J90" s="26">
        <v>7</v>
      </c>
      <c r="K90" s="27">
        <v>0.38940000000000002</v>
      </c>
      <c r="L90" s="27">
        <v>0.73560000000000003</v>
      </c>
      <c r="M90" s="27">
        <v>4.843</v>
      </c>
      <c r="N90" s="243">
        <v>7.1800000000000003E-2</v>
      </c>
      <c r="O90" s="210">
        <v>23</v>
      </c>
      <c r="P90" s="27">
        <v>0.1457</v>
      </c>
      <c r="Q90" s="27">
        <v>0.4128</v>
      </c>
      <c r="R90" s="27">
        <v>2.8582000000000001</v>
      </c>
      <c r="S90" s="27">
        <v>3.0800000000000001E-2</v>
      </c>
      <c r="T90" s="29">
        <v>10</v>
      </c>
      <c r="U90" s="29">
        <v>0.2651</v>
      </c>
      <c r="V90" s="29">
        <v>0.56769999999999998</v>
      </c>
      <c r="W90" s="29">
        <v>3.9540000000000002</v>
      </c>
      <c r="X90" s="209">
        <v>5.11E-2</v>
      </c>
      <c r="Y90" s="210">
        <v>18</v>
      </c>
      <c r="Z90" s="27">
        <v>0.17549999999999999</v>
      </c>
      <c r="AA90" s="27">
        <v>0.45469999999999999</v>
      </c>
      <c r="AB90" s="27">
        <v>3.2793999999999999</v>
      </c>
      <c r="AC90" s="27">
        <v>3.61E-2</v>
      </c>
      <c r="AD90" s="29">
        <v>10</v>
      </c>
      <c r="AE90" s="29">
        <v>0.2651</v>
      </c>
      <c r="AF90" s="29">
        <v>0.56769999999999998</v>
      </c>
      <c r="AG90" s="29">
        <v>3.9540000000000002</v>
      </c>
      <c r="AH90" s="209">
        <v>5.11E-2</v>
      </c>
      <c r="AI90" s="261">
        <f t="shared" si="4"/>
        <v>-7.334038876078075E-2</v>
      </c>
      <c r="AJ90" s="262">
        <f t="shared" si="5"/>
        <v>-9.5074826384475716E-2</v>
      </c>
      <c r="AK90" s="262">
        <f t="shared" si="6"/>
        <v>-0.68678526125750006</v>
      </c>
      <c r="AL90" s="263">
        <f t="shared" si="7"/>
        <v>-1.238091614389469E-2</v>
      </c>
    </row>
    <row r="91" spans="1:38" ht="15.75" thickBot="1" x14ac:dyDescent="0.3">
      <c r="A91" s="257">
        <v>2092</v>
      </c>
      <c r="B91" s="258" t="s">
        <v>27</v>
      </c>
      <c r="C91" s="259">
        <v>14202</v>
      </c>
      <c r="D91" s="260">
        <v>0.01</v>
      </c>
      <c r="E91" s="251">
        <v>21</v>
      </c>
      <c r="F91" s="245">
        <v>0.15590000000000001</v>
      </c>
      <c r="G91" s="245">
        <v>0.4274</v>
      </c>
      <c r="H91" s="245">
        <v>3.0467</v>
      </c>
      <c r="I91" s="245">
        <v>3.27E-2</v>
      </c>
      <c r="J91" s="252">
        <v>10</v>
      </c>
      <c r="K91" s="245">
        <v>0.2651</v>
      </c>
      <c r="L91" s="245">
        <v>0.56769999999999998</v>
      </c>
      <c r="M91" s="245">
        <v>3.6539999999999999</v>
      </c>
      <c r="N91" s="253">
        <v>5.11E-2</v>
      </c>
      <c r="O91" s="244">
        <v>24</v>
      </c>
      <c r="P91" s="245">
        <v>0.1406</v>
      </c>
      <c r="Q91" s="245">
        <v>0.40560000000000002</v>
      </c>
      <c r="R91" s="245">
        <v>2.7639999999999998</v>
      </c>
      <c r="S91" s="245">
        <v>2.98E-2</v>
      </c>
      <c r="T91" s="246">
        <v>14</v>
      </c>
      <c r="U91" s="246">
        <v>0.21079999999999999</v>
      </c>
      <c r="V91" s="246">
        <v>0.50139999999999996</v>
      </c>
      <c r="W91" s="246">
        <v>3.5804999999999998</v>
      </c>
      <c r="X91" s="247">
        <v>4.2099999999999999E-2</v>
      </c>
      <c r="Y91" s="244">
        <v>22</v>
      </c>
      <c r="Z91" s="245">
        <v>0.15079999999999999</v>
      </c>
      <c r="AA91" s="245">
        <v>0.42009999999999997</v>
      </c>
      <c r="AB91" s="245">
        <v>2.9525000000000001</v>
      </c>
      <c r="AC91" s="245">
        <v>3.1699999999999999E-2</v>
      </c>
      <c r="AD91" s="246">
        <v>20</v>
      </c>
      <c r="AE91" s="246">
        <v>0.161</v>
      </c>
      <c r="AF91" s="245">
        <v>0.43459999999999999</v>
      </c>
      <c r="AG91" s="246">
        <v>3.1408999999999998</v>
      </c>
      <c r="AH91" s="247">
        <v>3.3599999999999998E-2</v>
      </c>
      <c r="AI91" s="264">
        <f t="shared" si="4"/>
        <v>-3.0142342850658197E-3</v>
      </c>
      <c r="AJ91" s="265">
        <f t="shared" si="5"/>
        <v>-4.0573334720835214E-3</v>
      </c>
      <c r="AK91" s="265">
        <f t="shared" si="6"/>
        <v>-3.4186699350000002E-2</v>
      </c>
      <c r="AL91" s="266">
        <f t="shared" si="7"/>
        <v>-5.2402027734906953E-4</v>
      </c>
    </row>
    <row r="93" spans="1:38" x14ac:dyDescent="0.25">
      <c r="A93" s="21" t="s">
        <v>1</v>
      </c>
    </row>
    <row r="94" spans="1:38" x14ac:dyDescent="0.25">
      <c r="A94" s="2" t="s">
        <v>70</v>
      </c>
    </row>
    <row r="95" spans="1:38" x14ac:dyDescent="0.25">
      <c r="A95" s="2" t="s">
        <v>71</v>
      </c>
    </row>
    <row r="96" spans="1:38" x14ac:dyDescent="0.25">
      <c r="A96" s="2" t="s">
        <v>235</v>
      </c>
    </row>
    <row r="97" spans="1:22" x14ac:dyDescent="0.25">
      <c r="A97" s="2" t="s">
        <v>102</v>
      </c>
    </row>
    <row r="99" spans="1:22" x14ac:dyDescent="0.25">
      <c r="A99" s="21" t="s">
        <v>38</v>
      </c>
    </row>
    <row r="100" spans="1:22" x14ac:dyDescent="0.25">
      <c r="A100" s="2" t="s">
        <v>72</v>
      </c>
    </row>
    <row r="101" spans="1:22" x14ac:dyDescent="0.25">
      <c r="A101" s="2" t="s">
        <v>279</v>
      </c>
      <c r="B101" s="127"/>
      <c r="C101" s="267"/>
      <c r="D101" s="267"/>
      <c r="E101" s="127"/>
      <c r="F101" s="127"/>
      <c r="G101" s="127"/>
      <c r="H101" s="127"/>
      <c r="I101" s="127"/>
      <c r="J101" s="127"/>
      <c r="K101" s="127"/>
      <c r="L101" s="127"/>
      <c r="M101" s="127"/>
      <c r="N101" s="127"/>
      <c r="O101" s="127"/>
      <c r="P101" s="127"/>
      <c r="Q101" s="127"/>
      <c r="R101" s="127"/>
      <c r="S101" s="127"/>
      <c r="T101" s="127"/>
      <c r="U101" s="127"/>
      <c r="V101" s="127"/>
    </row>
    <row r="102" spans="1:22" x14ac:dyDescent="0.25">
      <c r="A102" s="125" t="s">
        <v>482</v>
      </c>
      <c r="B102" s="127"/>
      <c r="C102" s="267"/>
      <c r="D102" s="267"/>
      <c r="E102" s="127"/>
      <c r="F102" s="127"/>
      <c r="G102" s="127"/>
      <c r="H102" s="127"/>
      <c r="I102" s="127"/>
      <c r="J102" s="127"/>
      <c r="K102" s="127"/>
      <c r="L102" s="127"/>
      <c r="M102" s="127"/>
      <c r="N102" s="127"/>
      <c r="O102" s="127"/>
      <c r="P102" s="127"/>
      <c r="Q102" s="127"/>
      <c r="R102" s="127"/>
      <c r="S102" s="127"/>
      <c r="T102" s="127"/>
      <c r="U102" s="127"/>
      <c r="V102" s="127"/>
    </row>
    <row r="103" spans="1:22" x14ac:dyDescent="0.25">
      <c r="A103" s="2" t="s">
        <v>252</v>
      </c>
    </row>
    <row r="104" spans="1:22" x14ac:dyDescent="0.25">
      <c r="A104" s="2" t="s">
        <v>236</v>
      </c>
    </row>
    <row r="105" spans="1:22" x14ac:dyDescent="0.25">
      <c r="A105" s="2" t="s">
        <v>73</v>
      </c>
    </row>
    <row r="106" spans="1:22" ht="18" x14ac:dyDescent="0.35">
      <c r="A106" s="2" t="s">
        <v>246</v>
      </c>
    </row>
    <row r="107" spans="1:22" x14ac:dyDescent="0.25">
      <c r="A107" s="2" t="s">
        <v>240</v>
      </c>
    </row>
    <row r="108" spans="1:22" x14ac:dyDescent="0.25">
      <c r="A108" s="2" t="s">
        <v>241</v>
      </c>
    </row>
    <row r="109" spans="1:22" x14ac:dyDescent="0.25">
      <c r="A109" s="32" t="s">
        <v>239</v>
      </c>
    </row>
    <row r="113" spans="1:17" x14ac:dyDescent="0.25">
      <c r="A113" t="s">
        <v>57</v>
      </c>
      <c r="C113" s="22" t="s">
        <v>58</v>
      </c>
    </row>
    <row r="114" spans="1:17" x14ac:dyDescent="0.25">
      <c r="C114" s="22" t="s">
        <v>280</v>
      </c>
    </row>
    <row r="115" spans="1:17" x14ac:dyDescent="0.25">
      <c r="C115" s="22" t="s">
        <v>281</v>
      </c>
    </row>
    <row r="116" spans="1:17" x14ac:dyDescent="0.25">
      <c r="C116" s="22" t="s">
        <v>59</v>
      </c>
    </row>
    <row r="117" spans="1:17" x14ac:dyDescent="0.25">
      <c r="C117" s="22" t="s">
        <v>60</v>
      </c>
    </row>
    <row r="118" spans="1:17" x14ac:dyDescent="0.25">
      <c r="C118" s="22" t="s">
        <v>61</v>
      </c>
    </row>
    <row r="120" spans="1:17" x14ac:dyDescent="0.25">
      <c r="Q120" s="21"/>
    </row>
    <row r="121" spans="1:17" x14ac:dyDescent="0.25">
      <c r="Q121" s="2"/>
    </row>
    <row r="122" spans="1:17" x14ac:dyDescent="0.25">
      <c r="Q122" s="2"/>
    </row>
    <row r="124" spans="1:17" x14ac:dyDescent="0.25">
      <c r="Q124" s="21"/>
    </row>
    <row r="125" spans="1:17" x14ac:dyDescent="0.25">
      <c r="Q125" s="2"/>
    </row>
    <row r="126" spans="1:17" x14ac:dyDescent="0.25">
      <c r="Q126" s="2"/>
    </row>
    <row r="127" spans="1:17" x14ac:dyDescent="0.25">
      <c r="Q127" s="2"/>
    </row>
    <row r="128" spans="1:17" x14ac:dyDescent="0.25">
      <c r="Q128" s="2"/>
    </row>
  </sheetData>
  <mergeCells count="27">
    <mergeCell ref="AL3:AL5"/>
    <mergeCell ref="AD3:AH3"/>
    <mergeCell ref="AE4:AH4"/>
    <mergeCell ref="AD4:AD5"/>
    <mergeCell ref="AI3:AI5"/>
    <mergeCell ref="AJ3:AJ5"/>
    <mergeCell ref="U4:X4"/>
    <mergeCell ref="Y4:Y5"/>
    <mergeCell ref="Y3:AC3"/>
    <mergeCell ref="Z4:AC4"/>
    <mergeCell ref="AK3:AK5"/>
    <mergeCell ref="A1:AL1"/>
    <mergeCell ref="A3:A5"/>
    <mergeCell ref="B3:B5"/>
    <mergeCell ref="C3:C5"/>
    <mergeCell ref="D3:D5"/>
    <mergeCell ref="F4:I4"/>
    <mergeCell ref="E3:I3"/>
    <mergeCell ref="E4:E5"/>
    <mergeCell ref="J4:J5"/>
    <mergeCell ref="K4:N4"/>
    <mergeCell ref="J3:N3"/>
    <mergeCell ref="O4:O5"/>
    <mergeCell ref="O3:S3"/>
    <mergeCell ref="P4:S4"/>
    <mergeCell ref="T4:T5"/>
    <mergeCell ref="T3:X3"/>
  </mergeCells>
  <hyperlinks>
    <hyperlink ref="A109" r:id="rId1"/>
  </hyperlinks>
  <pageMargins left="0.7" right="0.7" top="0.75" bottom="0.75" header="0.3" footer="0.3"/>
  <pageSetup orientation="portrait" horizontalDpi="1200" verticalDpi="12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59999389629810485"/>
  </sheetPr>
  <dimension ref="A1:AH122"/>
  <sheetViews>
    <sheetView zoomScale="80" zoomScaleNormal="80" workbookViewId="0">
      <selection activeCell="G50" sqref="G50"/>
    </sheetView>
  </sheetViews>
  <sheetFormatPr defaultRowHeight="15" x14ac:dyDescent="0.25"/>
  <cols>
    <col min="5" max="5" width="21.42578125" customWidth="1"/>
    <col min="6" max="6" width="17.140625" customWidth="1"/>
    <col min="7" max="7" width="21.42578125" customWidth="1"/>
    <col min="8" max="8" width="17" customWidth="1"/>
    <col min="9" max="9" width="21.42578125" customWidth="1"/>
    <col min="10" max="10" width="17" customWidth="1"/>
    <col min="11" max="11" width="21.42578125" customWidth="1"/>
    <col min="12" max="12" width="17.140625" customWidth="1"/>
    <col min="13" max="13" width="21.42578125" customWidth="1"/>
    <col min="14" max="14" width="17.140625" customWidth="1"/>
    <col min="15" max="15" width="21.42578125" customWidth="1"/>
    <col min="16" max="16" width="17.140625" customWidth="1"/>
    <col min="17" max="17" width="15.5703125" customWidth="1"/>
  </cols>
  <sheetData>
    <row r="1" spans="1:34" ht="18" x14ac:dyDescent="0.35">
      <c r="A1" s="478" t="s">
        <v>245</v>
      </c>
      <c r="B1" s="478"/>
      <c r="C1" s="478"/>
      <c r="D1" s="478"/>
      <c r="E1" s="478"/>
      <c r="F1" s="478"/>
      <c r="G1" s="478"/>
      <c r="H1" s="478"/>
      <c r="I1" s="478"/>
      <c r="J1" s="478"/>
      <c r="K1" s="478"/>
      <c r="L1" s="478"/>
      <c r="M1" s="478"/>
      <c r="N1" s="478"/>
      <c r="O1" s="478"/>
      <c r="P1" s="478"/>
      <c r="Q1" s="478"/>
      <c r="R1" s="236"/>
      <c r="S1" s="236"/>
      <c r="T1" s="236"/>
      <c r="U1" s="236"/>
      <c r="V1" s="236"/>
      <c r="W1" s="236"/>
      <c r="X1" s="236"/>
      <c r="Y1" s="236"/>
      <c r="Z1" s="236"/>
      <c r="AA1" s="236"/>
      <c r="AB1" s="236"/>
      <c r="AC1" s="236"/>
      <c r="AD1" s="236"/>
      <c r="AE1" s="236"/>
      <c r="AF1" s="236"/>
      <c r="AG1" s="236"/>
      <c r="AH1" s="236"/>
    </row>
    <row r="2" spans="1:34" ht="15.75" thickBot="1" x14ac:dyDescent="0.3"/>
    <row r="3" spans="1:34" ht="15" customHeight="1" x14ac:dyDescent="0.25">
      <c r="A3" s="525" t="s">
        <v>289</v>
      </c>
      <c r="B3" s="559" t="s">
        <v>25</v>
      </c>
      <c r="C3" s="559" t="s">
        <v>44</v>
      </c>
      <c r="D3" s="572" t="s">
        <v>46</v>
      </c>
      <c r="E3" s="560" t="s">
        <v>53</v>
      </c>
      <c r="F3" s="561"/>
      <c r="G3" s="562" t="s">
        <v>54</v>
      </c>
      <c r="H3" s="563"/>
      <c r="I3" s="564" t="s">
        <v>50</v>
      </c>
      <c r="J3" s="565"/>
      <c r="K3" s="566" t="s">
        <v>51</v>
      </c>
      <c r="L3" s="567"/>
      <c r="M3" s="568" t="s">
        <v>52</v>
      </c>
      <c r="N3" s="569"/>
      <c r="O3" s="570" t="s">
        <v>55</v>
      </c>
      <c r="P3" s="571"/>
      <c r="Q3" s="574" t="s">
        <v>276</v>
      </c>
    </row>
    <row r="4" spans="1:34" ht="30" customHeight="1" thickBot="1" x14ac:dyDescent="0.3">
      <c r="A4" s="526"/>
      <c r="B4" s="483"/>
      <c r="C4" s="483"/>
      <c r="D4" s="573"/>
      <c r="E4" s="313" t="s">
        <v>47</v>
      </c>
      <c r="F4" s="269" t="s">
        <v>290</v>
      </c>
      <c r="G4" s="269" t="s">
        <v>47</v>
      </c>
      <c r="H4" s="323" t="s">
        <v>290</v>
      </c>
      <c r="I4" s="320" t="s">
        <v>47</v>
      </c>
      <c r="J4" s="315" t="s">
        <v>290</v>
      </c>
      <c r="K4" s="315" t="s">
        <v>47</v>
      </c>
      <c r="L4" s="321" t="s">
        <v>290</v>
      </c>
      <c r="M4" s="317" t="s">
        <v>47</v>
      </c>
      <c r="N4" s="268" t="s">
        <v>290</v>
      </c>
      <c r="O4" s="268" t="s">
        <v>47</v>
      </c>
      <c r="P4" s="314" t="s">
        <v>290</v>
      </c>
      <c r="Q4" s="575"/>
    </row>
    <row r="5" spans="1:34" x14ac:dyDescent="0.25">
      <c r="A5" s="256">
        <v>9</v>
      </c>
      <c r="B5" s="16" t="s">
        <v>26</v>
      </c>
      <c r="C5" s="16">
        <v>48682</v>
      </c>
      <c r="D5" s="280">
        <v>0.1</v>
      </c>
      <c r="E5" s="326">
        <v>49</v>
      </c>
      <c r="F5" s="316">
        <v>325</v>
      </c>
      <c r="G5" s="316">
        <v>36</v>
      </c>
      <c r="H5" s="324">
        <v>335.24999999999989</v>
      </c>
      <c r="I5" s="318">
        <v>49</v>
      </c>
      <c r="J5" s="316">
        <v>325</v>
      </c>
      <c r="K5" s="316">
        <v>42</v>
      </c>
      <c r="L5" s="324">
        <v>328.74999999999943</v>
      </c>
      <c r="M5" s="318">
        <v>31</v>
      </c>
      <c r="N5" s="316">
        <v>347.24999999999966</v>
      </c>
      <c r="O5" s="316">
        <v>32</v>
      </c>
      <c r="P5" s="328">
        <v>344.49999999999932</v>
      </c>
      <c r="Q5" s="332">
        <f>(((C5*D5*0.15)*(F5-H5)+(C5*D5*0.65)*(J5-L5)+(C5*D5*0.2)*(N5-P5))/1101500)*365</f>
        <v>-5.5250644802534641</v>
      </c>
    </row>
    <row r="6" spans="1:34" x14ac:dyDescent="0.25">
      <c r="A6" s="256">
        <v>9</v>
      </c>
      <c r="B6" s="16" t="s">
        <v>27</v>
      </c>
      <c r="C6" s="16">
        <v>1534</v>
      </c>
      <c r="D6" s="280">
        <v>0.5</v>
      </c>
      <c r="E6" s="326">
        <v>47</v>
      </c>
      <c r="F6" s="316">
        <v>325</v>
      </c>
      <c r="G6" s="316">
        <v>43</v>
      </c>
      <c r="H6" s="324">
        <v>327.49999999999915</v>
      </c>
      <c r="I6" s="318">
        <v>48</v>
      </c>
      <c r="J6" s="316">
        <v>325</v>
      </c>
      <c r="K6" s="316">
        <v>45</v>
      </c>
      <c r="L6" s="324">
        <v>325</v>
      </c>
      <c r="M6" s="318">
        <v>48</v>
      </c>
      <c r="N6" s="316">
        <v>325</v>
      </c>
      <c r="O6" s="316">
        <v>44</v>
      </c>
      <c r="P6" s="328">
        <v>326.24999999999886</v>
      </c>
      <c r="Q6" s="330">
        <f t="shared" ref="Q6:Q69" si="0">(((C6*D6*0.15)*(F6-H6)+(C6*D6*0.65)*(J6-L6)+(C6*D6*0.2)*(N6-P6))/1101500)*365</f>
        <v>-0.15884872900581076</v>
      </c>
    </row>
    <row r="7" spans="1:34" x14ac:dyDescent="0.25">
      <c r="A7" s="256">
        <v>10</v>
      </c>
      <c r="B7" s="16" t="s">
        <v>26</v>
      </c>
      <c r="C7" s="16">
        <v>49976</v>
      </c>
      <c r="D7" s="280">
        <v>0.1</v>
      </c>
      <c r="E7" s="326">
        <v>24</v>
      </c>
      <c r="F7" s="316">
        <v>384.99999999999943</v>
      </c>
      <c r="G7" s="316">
        <v>27</v>
      </c>
      <c r="H7" s="324">
        <v>364.99999999999989</v>
      </c>
      <c r="I7" s="318">
        <v>7</v>
      </c>
      <c r="J7" s="316">
        <v>957.50000000000023</v>
      </c>
      <c r="K7" s="316">
        <v>7</v>
      </c>
      <c r="L7" s="324">
        <v>957.50000000000023</v>
      </c>
      <c r="M7" s="318">
        <v>7</v>
      </c>
      <c r="N7" s="316">
        <v>957.50000000000023</v>
      </c>
      <c r="O7" s="316">
        <v>6</v>
      </c>
      <c r="P7" s="328">
        <v>1035.0000000000002</v>
      </c>
      <c r="Q7" s="330">
        <f t="shared" si="0"/>
        <v>-20.700453926464025</v>
      </c>
    </row>
    <row r="8" spans="1:34" x14ac:dyDescent="0.25">
      <c r="A8" s="256">
        <v>10</v>
      </c>
      <c r="B8" s="16" t="s">
        <v>27</v>
      </c>
      <c r="C8" s="16">
        <v>50059</v>
      </c>
      <c r="D8" s="280">
        <v>0.1</v>
      </c>
      <c r="E8" s="326">
        <v>11</v>
      </c>
      <c r="F8" s="316">
        <v>686.25000000000011</v>
      </c>
      <c r="G8" s="316">
        <v>16</v>
      </c>
      <c r="H8" s="324">
        <v>510.00000000000011</v>
      </c>
      <c r="I8" s="318">
        <v>23</v>
      </c>
      <c r="J8" s="316">
        <v>395</v>
      </c>
      <c r="K8" s="316">
        <v>24</v>
      </c>
      <c r="L8" s="324">
        <v>384.99999999999943</v>
      </c>
      <c r="M8" s="318">
        <v>13</v>
      </c>
      <c r="N8" s="316">
        <v>608.75000000000023</v>
      </c>
      <c r="O8" s="316">
        <v>15</v>
      </c>
      <c r="P8" s="328">
        <v>531.25</v>
      </c>
      <c r="Q8" s="330">
        <f t="shared" si="0"/>
        <v>80.34747858034568</v>
      </c>
    </row>
    <row r="9" spans="1:34" x14ac:dyDescent="0.25">
      <c r="A9" s="256">
        <v>13</v>
      </c>
      <c r="B9" s="16" t="s">
        <v>26</v>
      </c>
      <c r="C9" s="16">
        <v>48682</v>
      </c>
      <c r="D9" s="280">
        <v>0.1</v>
      </c>
      <c r="E9" s="326">
        <v>34</v>
      </c>
      <c r="F9" s="316">
        <v>338.99999999999864</v>
      </c>
      <c r="G9" s="316">
        <v>28</v>
      </c>
      <c r="H9" s="324">
        <v>360.00000000000011</v>
      </c>
      <c r="I9" s="318">
        <v>8</v>
      </c>
      <c r="J9" s="316">
        <v>880.00000000000045</v>
      </c>
      <c r="K9" s="316">
        <v>11</v>
      </c>
      <c r="L9" s="324">
        <v>686.25000000000011</v>
      </c>
      <c r="M9" s="318">
        <v>7</v>
      </c>
      <c r="N9" s="316">
        <v>957.50000000000023</v>
      </c>
      <c r="O9" s="316">
        <v>9</v>
      </c>
      <c r="P9" s="328">
        <v>802.50000000000057</v>
      </c>
      <c r="Q9" s="330">
        <f t="shared" si="0"/>
        <v>248.08346095097582</v>
      </c>
    </row>
    <row r="10" spans="1:34" x14ac:dyDescent="0.25">
      <c r="A10" s="256">
        <v>13</v>
      </c>
      <c r="B10" s="16" t="s">
        <v>27</v>
      </c>
      <c r="C10" s="16">
        <v>1534</v>
      </c>
      <c r="D10" s="280">
        <v>0.1</v>
      </c>
      <c r="E10" s="326">
        <v>37</v>
      </c>
      <c r="F10" s="316">
        <v>334.25000000000011</v>
      </c>
      <c r="G10" s="316">
        <v>8</v>
      </c>
      <c r="H10" s="324">
        <v>880.00000000000045</v>
      </c>
      <c r="I10" s="318">
        <v>43</v>
      </c>
      <c r="J10" s="316">
        <v>327.49999999999915</v>
      </c>
      <c r="K10" s="316">
        <v>24</v>
      </c>
      <c r="L10" s="324">
        <v>384.99999999999943</v>
      </c>
      <c r="M10" s="318">
        <v>38</v>
      </c>
      <c r="N10" s="316">
        <v>333.25000000000034</v>
      </c>
      <c r="O10" s="316">
        <v>7</v>
      </c>
      <c r="P10" s="328">
        <v>957.50000000000023</v>
      </c>
      <c r="Q10" s="330">
        <f t="shared" si="0"/>
        <v>-12.407356525192931</v>
      </c>
    </row>
    <row r="11" spans="1:34" x14ac:dyDescent="0.25">
      <c r="A11" s="256">
        <v>14</v>
      </c>
      <c r="B11" s="16" t="s">
        <v>26</v>
      </c>
      <c r="C11" s="16">
        <v>48682</v>
      </c>
      <c r="D11" s="280">
        <v>0.4</v>
      </c>
      <c r="E11" s="326">
        <v>50</v>
      </c>
      <c r="F11" s="316">
        <v>325</v>
      </c>
      <c r="G11" s="316">
        <v>39</v>
      </c>
      <c r="H11" s="324">
        <v>332.25000000000051</v>
      </c>
      <c r="I11" s="318">
        <v>10</v>
      </c>
      <c r="J11" s="316">
        <v>725</v>
      </c>
      <c r="K11" s="316">
        <v>11</v>
      </c>
      <c r="L11" s="324">
        <v>686.25000000000011</v>
      </c>
      <c r="M11" s="318">
        <v>5</v>
      </c>
      <c r="N11" s="316">
        <v>1112.5</v>
      </c>
      <c r="O11" s="316">
        <v>5</v>
      </c>
      <c r="P11" s="328">
        <v>1112.5</v>
      </c>
      <c r="Q11" s="330">
        <f t="shared" si="0"/>
        <v>155.50838420335808</v>
      </c>
    </row>
    <row r="12" spans="1:34" x14ac:dyDescent="0.25">
      <c r="A12" s="256">
        <v>14</v>
      </c>
      <c r="B12" s="16" t="s">
        <v>27</v>
      </c>
      <c r="C12" s="16">
        <v>1534</v>
      </c>
      <c r="D12" s="280">
        <v>0.1</v>
      </c>
      <c r="E12" s="326">
        <v>42</v>
      </c>
      <c r="F12" s="316">
        <v>328.74999999999943</v>
      </c>
      <c r="G12" s="316">
        <v>9</v>
      </c>
      <c r="H12" s="324">
        <v>802.50000000000057</v>
      </c>
      <c r="I12" s="318">
        <v>44</v>
      </c>
      <c r="J12" s="316">
        <v>326.24999999999886</v>
      </c>
      <c r="K12" s="316">
        <v>27</v>
      </c>
      <c r="L12" s="324">
        <v>365</v>
      </c>
      <c r="M12" s="318">
        <v>43</v>
      </c>
      <c r="N12" s="316">
        <v>327.49999999999915</v>
      </c>
      <c r="O12" s="316">
        <v>11</v>
      </c>
      <c r="P12" s="328">
        <v>686.25000000000011</v>
      </c>
      <c r="Q12" s="330">
        <f t="shared" si="0"/>
        <v>-8.5397076713572968</v>
      </c>
    </row>
    <row r="13" spans="1:34" x14ac:dyDescent="0.25">
      <c r="A13" s="256">
        <v>22</v>
      </c>
      <c r="B13" s="16" t="s">
        <v>26</v>
      </c>
      <c r="C13" s="16">
        <v>48682</v>
      </c>
      <c r="D13" s="280">
        <v>0.01</v>
      </c>
      <c r="E13" s="326">
        <v>37</v>
      </c>
      <c r="F13" s="316">
        <v>334.25000000000011</v>
      </c>
      <c r="G13" s="316">
        <v>37</v>
      </c>
      <c r="H13" s="324">
        <v>334.25000000000011</v>
      </c>
      <c r="I13" s="318">
        <v>44</v>
      </c>
      <c r="J13" s="316">
        <v>326.24999999999886</v>
      </c>
      <c r="K13" s="316">
        <v>44</v>
      </c>
      <c r="L13" s="324">
        <v>326.24999999999886</v>
      </c>
      <c r="M13" s="318">
        <v>34</v>
      </c>
      <c r="N13" s="316">
        <v>338.99999999999864</v>
      </c>
      <c r="O13" s="316">
        <v>20</v>
      </c>
      <c r="P13" s="328">
        <v>425</v>
      </c>
      <c r="Q13" s="330">
        <f t="shared" si="0"/>
        <v>-2.7746309214707656</v>
      </c>
    </row>
    <row r="14" spans="1:34" x14ac:dyDescent="0.25">
      <c r="A14" s="256">
        <v>22</v>
      </c>
      <c r="B14" s="16" t="s">
        <v>27</v>
      </c>
      <c r="C14" s="16">
        <v>1534</v>
      </c>
      <c r="D14" s="280">
        <v>0.1</v>
      </c>
      <c r="E14" s="326">
        <v>38</v>
      </c>
      <c r="F14" s="316">
        <v>333.25000000000034</v>
      </c>
      <c r="G14" s="316">
        <v>39</v>
      </c>
      <c r="H14" s="324">
        <v>332.25000000000051</v>
      </c>
      <c r="I14" s="318">
        <v>42</v>
      </c>
      <c r="J14" s="316">
        <v>328.74999999999943</v>
      </c>
      <c r="K14" s="316">
        <v>41</v>
      </c>
      <c r="L14" s="324">
        <v>329.99999999999972</v>
      </c>
      <c r="M14" s="318">
        <v>39</v>
      </c>
      <c r="N14" s="316">
        <v>332.25000000000051</v>
      </c>
      <c r="O14" s="316">
        <v>40</v>
      </c>
      <c r="P14" s="328">
        <v>331.25</v>
      </c>
      <c r="Q14" s="330">
        <f t="shared" si="0"/>
        <v>-2.3509611892878847E-2</v>
      </c>
    </row>
    <row r="15" spans="1:34" x14ac:dyDescent="0.25">
      <c r="A15" s="256">
        <v>23</v>
      </c>
      <c r="B15" s="16" t="s">
        <v>26</v>
      </c>
      <c r="C15" s="16">
        <v>44274</v>
      </c>
      <c r="D15" s="280">
        <v>0.1</v>
      </c>
      <c r="E15" s="326">
        <v>32</v>
      </c>
      <c r="F15" s="316">
        <v>344.49999999999932</v>
      </c>
      <c r="G15" s="316">
        <v>29</v>
      </c>
      <c r="H15" s="324">
        <v>354.99999999999972</v>
      </c>
      <c r="I15" s="318">
        <v>30</v>
      </c>
      <c r="J15" s="316">
        <v>350</v>
      </c>
      <c r="K15" s="316">
        <v>31</v>
      </c>
      <c r="L15" s="324">
        <v>347.24999999999966</v>
      </c>
      <c r="M15" s="318">
        <v>26</v>
      </c>
      <c r="N15" s="316">
        <v>370</v>
      </c>
      <c r="O15" s="316">
        <v>22</v>
      </c>
      <c r="P15" s="328">
        <v>405</v>
      </c>
      <c r="Q15" s="330">
        <f t="shared" si="0"/>
        <v>-9.9578817862003994</v>
      </c>
    </row>
    <row r="16" spans="1:34" x14ac:dyDescent="0.25">
      <c r="A16" s="256">
        <v>23</v>
      </c>
      <c r="B16" s="16" t="s">
        <v>27</v>
      </c>
      <c r="C16" s="16">
        <v>43958</v>
      </c>
      <c r="D16" s="280">
        <v>0.1</v>
      </c>
      <c r="E16" s="326">
        <v>30</v>
      </c>
      <c r="F16" s="316">
        <v>350</v>
      </c>
      <c r="G16" s="316">
        <v>26</v>
      </c>
      <c r="H16" s="324">
        <v>370.00000000000028</v>
      </c>
      <c r="I16" s="318">
        <v>33</v>
      </c>
      <c r="J16" s="316">
        <v>341.74999999999898</v>
      </c>
      <c r="K16" s="316">
        <v>32</v>
      </c>
      <c r="L16" s="324">
        <v>344.49999999999932</v>
      </c>
      <c r="M16" s="318">
        <v>24</v>
      </c>
      <c r="N16" s="316">
        <v>385</v>
      </c>
      <c r="O16" s="316">
        <v>20</v>
      </c>
      <c r="P16" s="328">
        <v>425</v>
      </c>
      <c r="Q16" s="330">
        <f t="shared" si="0"/>
        <v>-18.626529062642234</v>
      </c>
    </row>
    <row r="17" spans="1:17" x14ac:dyDescent="0.25">
      <c r="A17" s="256">
        <v>28</v>
      </c>
      <c r="B17" s="16" t="s">
        <v>26</v>
      </c>
      <c r="C17" s="16">
        <v>41699</v>
      </c>
      <c r="D17" s="280">
        <v>0.4</v>
      </c>
      <c r="E17" s="326">
        <v>35</v>
      </c>
      <c r="F17" s="316">
        <v>336.24999999999972</v>
      </c>
      <c r="G17" s="316">
        <v>40</v>
      </c>
      <c r="H17" s="324">
        <v>331.25</v>
      </c>
      <c r="I17" s="318">
        <v>39</v>
      </c>
      <c r="J17" s="316">
        <v>332.25000000000051</v>
      </c>
      <c r="K17" s="316">
        <v>43</v>
      </c>
      <c r="L17" s="324">
        <v>327.49999999999915</v>
      </c>
      <c r="M17" s="318">
        <v>35</v>
      </c>
      <c r="N17" s="316">
        <v>336.24999999999972</v>
      </c>
      <c r="O17" s="316">
        <v>34</v>
      </c>
      <c r="P17" s="328">
        <v>338.99999999999864</v>
      </c>
      <c r="Q17" s="330">
        <f t="shared" si="0"/>
        <v>18.170202019978628</v>
      </c>
    </row>
    <row r="18" spans="1:17" x14ac:dyDescent="0.25">
      <c r="A18" s="256">
        <v>28</v>
      </c>
      <c r="B18" s="16" t="s">
        <v>27</v>
      </c>
      <c r="C18" s="16">
        <v>43395</v>
      </c>
      <c r="D18" s="280">
        <v>0.2</v>
      </c>
      <c r="E18" s="326">
        <v>30</v>
      </c>
      <c r="F18" s="316">
        <v>350</v>
      </c>
      <c r="G18" s="316">
        <v>34</v>
      </c>
      <c r="H18" s="324">
        <v>338.99999999999864</v>
      </c>
      <c r="I18" s="318">
        <v>35</v>
      </c>
      <c r="J18" s="316">
        <v>336.24999999999972</v>
      </c>
      <c r="K18" s="316">
        <v>36</v>
      </c>
      <c r="L18" s="324">
        <v>335.24999999999989</v>
      </c>
      <c r="M18" s="318">
        <v>30</v>
      </c>
      <c r="N18" s="316">
        <v>350</v>
      </c>
      <c r="O18" s="316">
        <v>32</v>
      </c>
      <c r="P18" s="328">
        <v>344.49999999999932</v>
      </c>
      <c r="Q18" s="330">
        <f t="shared" si="0"/>
        <v>9.7781561507042483</v>
      </c>
    </row>
    <row r="19" spans="1:17" x14ac:dyDescent="0.25">
      <c r="A19" s="256">
        <v>31</v>
      </c>
      <c r="B19" s="16" t="s">
        <v>26</v>
      </c>
      <c r="C19" s="16">
        <v>41767</v>
      </c>
      <c r="D19" s="280">
        <v>0.2</v>
      </c>
      <c r="E19" s="326">
        <v>31</v>
      </c>
      <c r="F19" s="316">
        <v>347.24999999999966</v>
      </c>
      <c r="G19" s="316">
        <v>37</v>
      </c>
      <c r="H19" s="324">
        <v>334.25000000000011</v>
      </c>
      <c r="I19" s="318">
        <v>33</v>
      </c>
      <c r="J19" s="316">
        <v>341.74999999999898</v>
      </c>
      <c r="K19" s="316">
        <v>34</v>
      </c>
      <c r="L19" s="324">
        <v>338.99999999999864</v>
      </c>
      <c r="M19" s="318">
        <v>33</v>
      </c>
      <c r="N19" s="316">
        <v>341.74999999999898</v>
      </c>
      <c r="O19" s="316">
        <v>34</v>
      </c>
      <c r="P19" s="328">
        <v>338.99999999999864</v>
      </c>
      <c r="Q19" s="330">
        <f t="shared" si="0"/>
        <v>11.867951804358308</v>
      </c>
    </row>
    <row r="20" spans="1:17" x14ac:dyDescent="0.25">
      <c r="A20" s="256">
        <v>31</v>
      </c>
      <c r="B20" s="16" t="s">
        <v>27</v>
      </c>
      <c r="C20" s="16">
        <v>44703</v>
      </c>
      <c r="D20" s="280">
        <v>0.2</v>
      </c>
      <c r="E20" s="326">
        <v>32</v>
      </c>
      <c r="F20" s="316">
        <v>344.49999999999932</v>
      </c>
      <c r="G20" s="316">
        <v>37</v>
      </c>
      <c r="H20" s="324">
        <v>334.25000000000011</v>
      </c>
      <c r="I20" s="318">
        <v>37</v>
      </c>
      <c r="J20" s="316">
        <v>334.25000000000011</v>
      </c>
      <c r="K20" s="316">
        <v>39</v>
      </c>
      <c r="L20" s="324">
        <v>332.25000000000051</v>
      </c>
      <c r="M20" s="318">
        <v>26</v>
      </c>
      <c r="N20" s="316">
        <v>370</v>
      </c>
      <c r="O20" s="316">
        <v>32</v>
      </c>
      <c r="P20" s="328">
        <v>344.49999999999932</v>
      </c>
      <c r="Q20" s="330">
        <f t="shared" si="0"/>
        <v>23.515746311846765</v>
      </c>
    </row>
    <row r="21" spans="1:17" x14ac:dyDescent="0.25">
      <c r="A21" s="256">
        <v>34</v>
      </c>
      <c r="B21" s="16" t="s">
        <v>26</v>
      </c>
      <c r="C21" s="16">
        <v>40658</v>
      </c>
      <c r="D21" s="280">
        <v>0.2</v>
      </c>
      <c r="E21" s="326">
        <v>19</v>
      </c>
      <c r="F21" s="316">
        <v>446.25000000000057</v>
      </c>
      <c r="G21" s="316">
        <v>31</v>
      </c>
      <c r="H21" s="324">
        <v>347.24999999999966</v>
      </c>
      <c r="I21" s="318">
        <v>27</v>
      </c>
      <c r="J21" s="316">
        <v>364.99999999999989</v>
      </c>
      <c r="K21" s="316">
        <v>37</v>
      </c>
      <c r="L21" s="324">
        <v>334.25000000000011</v>
      </c>
      <c r="M21" s="318">
        <v>22</v>
      </c>
      <c r="N21" s="316">
        <v>404.99999999999972</v>
      </c>
      <c r="O21" s="316">
        <v>23</v>
      </c>
      <c r="P21" s="328">
        <v>395</v>
      </c>
      <c r="Q21" s="330">
        <f t="shared" si="0"/>
        <v>99.260056718111485</v>
      </c>
    </row>
    <row r="22" spans="1:17" x14ac:dyDescent="0.25">
      <c r="A22" s="256">
        <v>34</v>
      </c>
      <c r="B22" s="16" t="s">
        <v>27</v>
      </c>
      <c r="C22" s="16">
        <v>46834</v>
      </c>
      <c r="D22" s="280">
        <v>0.1</v>
      </c>
      <c r="E22" s="326">
        <v>31</v>
      </c>
      <c r="F22" s="316">
        <v>347.24999999999966</v>
      </c>
      <c r="G22" s="316">
        <v>33</v>
      </c>
      <c r="H22" s="324">
        <v>341.74999999999898</v>
      </c>
      <c r="I22" s="318">
        <v>40</v>
      </c>
      <c r="J22" s="316">
        <v>331.25</v>
      </c>
      <c r="K22" s="316">
        <v>39</v>
      </c>
      <c r="L22" s="324">
        <v>332.25000000000051</v>
      </c>
      <c r="M22" s="318">
        <v>38</v>
      </c>
      <c r="N22" s="316">
        <v>333.25000000000034</v>
      </c>
      <c r="O22" s="316">
        <v>36</v>
      </c>
      <c r="P22" s="328">
        <v>335.24999999999989</v>
      </c>
      <c r="Q22" s="330">
        <f t="shared" si="0"/>
        <v>-0.34918222877915417</v>
      </c>
    </row>
    <row r="23" spans="1:17" x14ac:dyDescent="0.25">
      <c r="A23" s="256">
        <v>35</v>
      </c>
      <c r="B23" s="16" t="s">
        <v>26</v>
      </c>
      <c r="C23" s="16">
        <v>43413</v>
      </c>
      <c r="D23" s="280">
        <v>0.1</v>
      </c>
      <c r="E23" s="326">
        <v>23</v>
      </c>
      <c r="F23" s="316">
        <v>394.99999999999955</v>
      </c>
      <c r="G23" s="316">
        <v>17</v>
      </c>
      <c r="H23" s="324">
        <v>488.75000000000028</v>
      </c>
      <c r="I23" s="318">
        <v>27</v>
      </c>
      <c r="J23" s="316">
        <v>364.99999999999989</v>
      </c>
      <c r="K23" s="316">
        <v>26</v>
      </c>
      <c r="L23" s="324">
        <v>370</v>
      </c>
      <c r="M23" s="318">
        <v>18</v>
      </c>
      <c r="N23" s="316">
        <v>467.50000000000045</v>
      </c>
      <c r="O23" s="316">
        <v>17</v>
      </c>
      <c r="P23" s="328">
        <v>488.75000000000028</v>
      </c>
      <c r="Q23" s="330">
        <f t="shared" si="0"/>
        <v>-31.018962919882203</v>
      </c>
    </row>
    <row r="24" spans="1:17" x14ac:dyDescent="0.25">
      <c r="A24" s="256">
        <v>35</v>
      </c>
      <c r="B24" s="16" t="s">
        <v>27</v>
      </c>
      <c r="C24" s="16">
        <v>46834</v>
      </c>
      <c r="D24" s="280">
        <v>0.1</v>
      </c>
      <c r="E24" s="326">
        <v>17</v>
      </c>
      <c r="F24" s="316">
        <v>488.75000000000028</v>
      </c>
      <c r="G24" s="316">
        <v>20</v>
      </c>
      <c r="H24" s="324">
        <v>425</v>
      </c>
      <c r="I24" s="318">
        <v>28</v>
      </c>
      <c r="J24" s="316">
        <v>360.00000000000011</v>
      </c>
      <c r="K24" s="316">
        <v>27</v>
      </c>
      <c r="L24" s="324">
        <v>365</v>
      </c>
      <c r="M24" s="318">
        <v>25</v>
      </c>
      <c r="N24" s="316">
        <v>375</v>
      </c>
      <c r="O24" s="316">
        <v>24</v>
      </c>
      <c r="P24" s="328">
        <v>385</v>
      </c>
      <c r="Q24" s="330">
        <f t="shared" si="0"/>
        <v>6.6926593849298239</v>
      </c>
    </row>
    <row r="25" spans="1:17" x14ac:dyDescent="0.25">
      <c r="A25" s="256">
        <v>36</v>
      </c>
      <c r="B25" s="16" t="s">
        <v>26</v>
      </c>
      <c r="C25" s="16">
        <v>43413</v>
      </c>
      <c r="D25" s="280">
        <v>0.1</v>
      </c>
      <c r="E25" s="326">
        <v>40</v>
      </c>
      <c r="F25" s="316">
        <v>331.25</v>
      </c>
      <c r="G25" s="316">
        <v>34</v>
      </c>
      <c r="H25" s="324">
        <v>338.99999999999864</v>
      </c>
      <c r="I25" s="318">
        <v>41</v>
      </c>
      <c r="J25" s="316">
        <v>329.99999999999972</v>
      </c>
      <c r="K25" s="316">
        <v>39</v>
      </c>
      <c r="L25" s="324">
        <v>332.25000000000051</v>
      </c>
      <c r="M25" s="318">
        <v>34</v>
      </c>
      <c r="N25" s="316">
        <v>338.99999999999864</v>
      </c>
      <c r="O25" s="316">
        <v>33</v>
      </c>
      <c r="P25" s="328">
        <v>341.74999999999898</v>
      </c>
      <c r="Q25" s="330">
        <f t="shared" si="0"/>
        <v>-4.5674299024063592</v>
      </c>
    </row>
    <row r="26" spans="1:17" x14ac:dyDescent="0.25">
      <c r="A26" s="256">
        <v>36</v>
      </c>
      <c r="B26" s="16" t="s">
        <v>27</v>
      </c>
      <c r="C26" s="16">
        <v>42974</v>
      </c>
      <c r="D26" s="280">
        <v>0.3</v>
      </c>
      <c r="E26" s="326">
        <v>22</v>
      </c>
      <c r="F26" s="316">
        <v>404.99999999999972</v>
      </c>
      <c r="G26" s="316">
        <v>28</v>
      </c>
      <c r="H26" s="324">
        <v>360.00000000000011</v>
      </c>
      <c r="I26" s="318">
        <v>34</v>
      </c>
      <c r="J26" s="316">
        <v>338.99999999999864</v>
      </c>
      <c r="K26" s="316">
        <v>37</v>
      </c>
      <c r="L26" s="324">
        <v>334.25000000000011</v>
      </c>
      <c r="M26" s="318">
        <v>29</v>
      </c>
      <c r="N26" s="316">
        <v>355</v>
      </c>
      <c r="O26" s="316">
        <v>31</v>
      </c>
      <c r="P26" s="328">
        <v>347.24999999999966</v>
      </c>
      <c r="Q26" s="330">
        <f t="shared" si="0"/>
        <v>48.647865217880621</v>
      </c>
    </row>
    <row r="27" spans="1:17" x14ac:dyDescent="0.25">
      <c r="A27" s="256">
        <v>41</v>
      </c>
      <c r="B27" s="16" t="s">
        <v>26</v>
      </c>
      <c r="C27" s="16">
        <v>39444</v>
      </c>
      <c r="D27" s="280">
        <v>0.1</v>
      </c>
      <c r="E27" s="326">
        <v>27</v>
      </c>
      <c r="F27" s="316">
        <v>364.99999999999989</v>
      </c>
      <c r="G27" s="316">
        <v>34</v>
      </c>
      <c r="H27" s="324">
        <v>338.99999999999864</v>
      </c>
      <c r="I27" s="318">
        <v>11</v>
      </c>
      <c r="J27" s="316">
        <v>686.25000000000011</v>
      </c>
      <c r="K27" s="316">
        <v>18</v>
      </c>
      <c r="L27" s="324">
        <v>467.50000000000045</v>
      </c>
      <c r="M27" s="318">
        <v>9</v>
      </c>
      <c r="N27" s="316">
        <v>802.50000000000057</v>
      </c>
      <c r="O27" s="316">
        <v>14</v>
      </c>
      <c r="P27" s="328">
        <v>570.00000000000023</v>
      </c>
      <c r="Q27" s="330">
        <f t="shared" si="0"/>
        <v>251.71981777122116</v>
      </c>
    </row>
    <row r="28" spans="1:17" x14ac:dyDescent="0.25">
      <c r="A28" s="256">
        <v>41</v>
      </c>
      <c r="B28" s="16" t="s">
        <v>27</v>
      </c>
      <c r="C28" s="16">
        <v>43926</v>
      </c>
      <c r="D28" s="280">
        <v>0.2</v>
      </c>
      <c r="E28" s="326">
        <v>38</v>
      </c>
      <c r="F28" s="316">
        <v>333.25000000000034</v>
      </c>
      <c r="G28" s="316">
        <v>39</v>
      </c>
      <c r="H28" s="324">
        <v>332.25000000000051</v>
      </c>
      <c r="I28" s="318">
        <v>42</v>
      </c>
      <c r="J28" s="316">
        <v>328.74999999999943</v>
      </c>
      <c r="K28" s="316">
        <v>42</v>
      </c>
      <c r="L28" s="324">
        <v>328.74999999999943</v>
      </c>
      <c r="M28" s="318">
        <v>43</v>
      </c>
      <c r="N28" s="316">
        <v>327.49999999999915</v>
      </c>
      <c r="O28" s="316">
        <v>43</v>
      </c>
      <c r="P28" s="328">
        <v>327.49999999999915</v>
      </c>
      <c r="Q28" s="330">
        <f t="shared" si="0"/>
        <v>0.43666790739892697</v>
      </c>
    </row>
    <row r="29" spans="1:17" x14ac:dyDescent="0.25">
      <c r="A29" s="256">
        <v>42</v>
      </c>
      <c r="B29" s="16" t="s">
        <v>26</v>
      </c>
      <c r="C29" s="16">
        <v>43926</v>
      </c>
      <c r="D29" s="280">
        <v>0.2</v>
      </c>
      <c r="E29" s="326">
        <v>32</v>
      </c>
      <c r="F29" s="316">
        <v>344.49999999999932</v>
      </c>
      <c r="G29" s="316">
        <v>31</v>
      </c>
      <c r="H29" s="324">
        <v>347.24999999999966</v>
      </c>
      <c r="I29" s="318">
        <v>9</v>
      </c>
      <c r="J29" s="316">
        <v>802.50000000000057</v>
      </c>
      <c r="K29" s="316">
        <v>11</v>
      </c>
      <c r="L29" s="324">
        <v>686.25000000000011</v>
      </c>
      <c r="M29" s="318">
        <v>9</v>
      </c>
      <c r="N29" s="316">
        <v>802.50000000000057</v>
      </c>
      <c r="O29" s="316">
        <v>11</v>
      </c>
      <c r="P29" s="328">
        <v>686.25000000000011</v>
      </c>
      <c r="Q29" s="330">
        <f t="shared" si="0"/>
        <v>286.45414725374587</v>
      </c>
    </row>
    <row r="30" spans="1:17" x14ac:dyDescent="0.25">
      <c r="A30" s="256">
        <v>42</v>
      </c>
      <c r="B30" s="16" t="s">
        <v>27</v>
      </c>
      <c r="C30" s="16">
        <v>47125</v>
      </c>
      <c r="D30" s="280">
        <v>0.1</v>
      </c>
      <c r="E30" s="326">
        <v>25</v>
      </c>
      <c r="F30" s="316">
        <v>375</v>
      </c>
      <c r="G30" s="316">
        <v>27</v>
      </c>
      <c r="H30" s="324">
        <v>364.99999999999989</v>
      </c>
      <c r="I30" s="318">
        <v>27</v>
      </c>
      <c r="J30" s="316">
        <v>364.99999999999989</v>
      </c>
      <c r="K30" s="316">
        <v>28</v>
      </c>
      <c r="L30" s="324">
        <v>360.00000000000011</v>
      </c>
      <c r="M30" s="318">
        <v>28</v>
      </c>
      <c r="N30" s="316">
        <v>360</v>
      </c>
      <c r="O30" s="316">
        <v>28</v>
      </c>
      <c r="P30" s="328">
        <v>360</v>
      </c>
      <c r="Q30" s="330">
        <f t="shared" si="0"/>
        <v>7.4174279391736491</v>
      </c>
    </row>
    <row r="31" spans="1:17" x14ac:dyDescent="0.25">
      <c r="A31" s="256">
        <v>116</v>
      </c>
      <c r="B31" s="16" t="s">
        <v>26</v>
      </c>
      <c r="C31" s="16">
        <v>48682</v>
      </c>
      <c r="D31" s="280">
        <v>0.5</v>
      </c>
      <c r="E31" s="326">
        <v>48</v>
      </c>
      <c r="F31" s="316">
        <v>325</v>
      </c>
      <c r="G31" s="316">
        <v>45</v>
      </c>
      <c r="H31" s="316">
        <v>325</v>
      </c>
      <c r="I31" s="318">
        <v>49</v>
      </c>
      <c r="J31" s="316">
        <v>325</v>
      </c>
      <c r="K31" s="316">
        <v>46</v>
      </c>
      <c r="L31" s="324">
        <v>325</v>
      </c>
      <c r="M31" s="318">
        <v>12</v>
      </c>
      <c r="N31" s="316">
        <v>647.50000000000011</v>
      </c>
      <c r="O31" s="316">
        <v>12</v>
      </c>
      <c r="P31" s="328">
        <v>647.50000000000011</v>
      </c>
      <c r="Q31" s="330">
        <f t="shared" si="0"/>
        <v>0</v>
      </c>
    </row>
    <row r="32" spans="1:17" x14ac:dyDescent="0.25">
      <c r="A32" s="256">
        <v>116</v>
      </c>
      <c r="B32" s="16" t="s">
        <v>27</v>
      </c>
      <c r="C32" s="16">
        <v>1534</v>
      </c>
      <c r="D32" s="280">
        <v>0.4</v>
      </c>
      <c r="E32" s="326">
        <v>50</v>
      </c>
      <c r="F32" s="316">
        <v>325</v>
      </c>
      <c r="G32" s="316">
        <v>42</v>
      </c>
      <c r="H32" s="324">
        <v>328.74999999999943</v>
      </c>
      <c r="I32" s="318">
        <v>50</v>
      </c>
      <c r="J32" s="316">
        <v>325</v>
      </c>
      <c r="K32" s="316">
        <v>45</v>
      </c>
      <c r="L32" s="324">
        <v>325</v>
      </c>
      <c r="M32" s="318">
        <v>50</v>
      </c>
      <c r="N32" s="316">
        <v>325</v>
      </c>
      <c r="O32" s="316">
        <v>41</v>
      </c>
      <c r="P32" s="328">
        <v>330</v>
      </c>
      <c r="Q32" s="330">
        <f t="shared" si="0"/>
        <v>-0.31769745801178478</v>
      </c>
    </row>
    <row r="33" spans="1:17" x14ac:dyDescent="0.25">
      <c r="A33" s="256">
        <v>275</v>
      </c>
      <c r="B33" s="16" t="s">
        <v>26</v>
      </c>
      <c r="C33" s="16">
        <v>36956</v>
      </c>
      <c r="D33" s="280">
        <v>0.2</v>
      </c>
      <c r="E33" s="326">
        <v>28</v>
      </c>
      <c r="F33" s="316">
        <v>360.00000000000011</v>
      </c>
      <c r="G33" s="316">
        <v>30</v>
      </c>
      <c r="H33" s="324">
        <v>350</v>
      </c>
      <c r="I33" s="318">
        <v>28</v>
      </c>
      <c r="J33" s="316">
        <v>360.00000000000011</v>
      </c>
      <c r="K33" s="316">
        <v>35</v>
      </c>
      <c r="L33" s="324">
        <v>336.24999999999972</v>
      </c>
      <c r="M33" s="318">
        <v>11</v>
      </c>
      <c r="N33" s="316">
        <v>686.25000000000011</v>
      </c>
      <c r="O33" s="316">
        <v>29</v>
      </c>
      <c r="P33" s="328">
        <v>354.99999999999972</v>
      </c>
      <c r="Q33" s="330">
        <f t="shared" si="0"/>
        <v>203.74238697231141</v>
      </c>
    </row>
    <row r="34" spans="1:17" x14ac:dyDescent="0.25">
      <c r="A34" s="256">
        <v>275</v>
      </c>
      <c r="B34" s="16" t="s">
        <v>27</v>
      </c>
      <c r="C34" s="16">
        <v>39336</v>
      </c>
      <c r="D34" s="280">
        <v>0.1</v>
      </c>
      <c r="E34" s="326">
        <v>25</v>
      </c>
      <c r="F34" s="316">
        <v>375</v>
      </c>
      <c r="G34" s="316">
        <v>28</v>
      </c>
      <c r="H34" s="324">
        <v>360.00000000000011</v>
      </c>
      <c r="I34" s="318">
        <v>30</v>
      </c>
      <c r="J34" s="316">
        <v>350</v>
      </c>
      <c r="K34" s="316">
        <v>33</v>
      </c>
      <c r="L34" s="324">
        <v>341.74999999999898</v>
      </c>
      <c r="M34" s="318">
        <v>26</v>
      </c>
      <c r="N34" s="316">
        <v>370</v>
      </c>
      <c r="O34" s="316">
        <v>28</v>
      </c>
      <c r="P34" s="328">
        <v>360</v>
      </c>
      <c r="Q34" s="330">
        <f t="shared" si="0"/>
        <v>12.529533772129762</v>
      </c>
    </row>
    <row r="35" spans="1:17" x14ac:dyDescent="0.25">
      <c r="A35" s="256">
        <v>277</v>
      </c>
      <c r="B35" s="16" t="s">
        <v>26</v>
      </c>
      <c r="C35" s="16">
        <v>42416</v>
      </c>
      <c r="D35" s="280">
        <v>0.1</v>
      </c>
      <c r="E35" s="326">
        <v>23</v>
      </c>
      <c r="F35" s="316">
        <v>394.99999999999955</v>
      </c>
      <c r="G35" s="316">
        <v>18</v>
      </c>
      <c r="H35" s="324">
        <v>467.50000000000045</v>
      </c>
      <c r="I35" s="318">
        <v>24</v>
      </c>
      <c r="J35" s="316">
        <v>385</v>
      </c>
      <c r="K35" s="316">
        <v>22</v>
      </c>
      <c r="L35" s="324">
        <v>404.99999999999972</v>
      </c>
      <c r="M35" s="318">
        <v>14</v>
      </c>
      <c r="N35" s="316">
        <v>570.00000000000023</v>
      </c>
      <c r="O35" s="316">
        <v>16</v>
      </c>
      <c r="P35" s="328">
        <v>510.00000000000011</v>
      </c>
      <c r="Q35" s="330">
        <f t="shared" si="0"/>
        <v>-16.690590104402986</v>
      </c>
    </row>
    <row r="36" spans="1:17" x14ac:dyDescent="0.25">
      <c r="A36" s="256">
        <v>277</v>
      </c>
      <c r="B36" s="16" t="s">
        <v>27</v>
      </c>
      <c r="C36" s="16">
        <v>43514</v>
      </c>
      <c r="D36" s="280">
        <v>0.2</v>
      </c>
      <c r="E36" s="326">
        <v>7</v>
      </c>
      <c r="F36" s="316">
        <v>802.50000000000057</v>
      </c>
      <c r="G36" s="316">
        <v>17</v>
      </c>
      <c r="H36" s="324">
        <v>488.75000000000028</v>
      </c>
      <c r="I36" s="318">
        <v>26</v>
      </c>
      <c r="J36" s="316">
        <v>370</v>
      </c>
      <c r="K36" s="316">
        <v>26</v>
      </c>
      <c r="L36" s="324">
        <v>370</v>
      </c>
      <c r="M36" s="318">
        <v>24</v>
      </c>
      <c r="N36" s="316">
        <v>385</v>
      </c>
      <c r="O36" s="316">
        <v>24</v>
      </c>
      <c r="P36" s="328">
        <v>385</v>
      </c>
      <c r="Q36" s="330">
        <f t="shared" si="0"/>
        <v>135.7195339310033</v>
      </c>
    </row>
    <row r="37" spans="1:17" x14ac:dyDescent="0.25">
      <c r="A37" s="256">
        <v>377</v>
      </c>
      <c r="B37" s="16" t="s">
        <v>26</v>
      </c>
      <c r="C37" s="16">
        <v>37776</v>
      </c>
      <c r="D37" s="280">
        <v>0.2</v>
      </c>
      <c r="E37" s="326">
        <v>25</v>
      </c>
      <c r="F37" s="316">
        <v>375</v>
      </c>
      <c r="G37" s="316">
        <v>32</v>
      </c>
      <c r="H37" s="324">
        <v>344.49999999999932</v>
      </c>
      <c r="I37" s="318">
        <v>29</v>
      </c>
      <c r="J37" s="316">
        <v>354.99999999999972</v>
      </c>
      <c r="K37" s="316">
        <v>30</v>
      </c>
      <c r="L37" s="324">
        <v>350</v>
      </c>
      <c r="M37" s="318">
        <v>7</v>
      </c>
      <c r="N37" s="316">
        <v>957.50000000000023</v>
      </c>
      <c r="O37" s="316">
        <v>8</v>
      </c>
      <c r="P37" s="328">
        <v>880.00000000000045</v>
      </c>
      <c r="Q37" s="330">
        <f t="shared" si="0"/>
        <v>58.395042759872588</v>
      </c>
    </row>
    <row r="38" spans="1:17" x14ac:dyDescent="0.25">
      <c r="A38" s="256">
        <v>377</v>
      </c>
      <c r="B38" s="16" t="s">
        <v>27</v>
      </c>
      <c r="C38" s="16">
        <v>38158</v>
      </c>
      <c r="D38" s="280">
        <v>0.2</v>
      </c>
      <c r="E38" s="326">
        <v>29</v>
      </c>
      <c r="F38" s="316">
        <v>354.99999999999972</v>
      </c>
      <c r="G38" s="316">
        <v>34</v>
      </c>
      <c r="H38" s="324">
        <v>338.99999999999864</v>
      </c>
      <c r="I38" s="318">
        <v>36</v>
      </c>
      <c r="J38" s="316">
        <v>335.24999999999989</v>
      </c>
      <c r="K38" s="316">
        <v>38</v>
      </c>
      <c r="L38" s="324">
        <v>333.25000000000034</v>
      </c>
      <c r="M38" s="318">
        <v>3</v>
      </c>
      <c r="N38" s="316">
        <v>1245.8333333333333</v>
      </c>
      <c r="O38" s="316">
        <v>4</v>
      </c>
      <c r="P38" s="328">
        <v>1179.1666666666665</v>
      </c>
      <c r="Q38" s="330">
        <f t="shared" si="0"/>
        <v>43.074833530034503</v>
      </c>
    </row>
    <row r="39" spans="1:17" x14ac:dyDescent="0.25">
      <c r="A39" s="256">
        <v>457</v>
      </c>
      <c r="B39" s="16" t="s">
        <v>26</v>
      </c>
      <c r="C39" s="16">
        <v>46261</v>
      </c>
      <c r="D39" s="280">
        <v>0.01</v>
      </c>
      <c r="E39" s="326">
        <v>9</v>
      </c>
      <c r="F39" s="316">
        <v>802.50000000000057</v>
      </c>
      <c r="G39" s="316">
        <v>12</v>
      </c>
      <c r="H39" s="324">
        <v>647.50000000000011</v>
      </c>
      <c r="I39" s="318">
        <v>4</v>
      </c>
      <c r="J39" s="316">
        <v>1179.1666666666665</v>
      </c>
      <c r="K39" s="316">
        <v>5</v>
      </c>
      <c r="L39" s="324">
        <v>957.50000000000023</v>
      </c>
      <c r="M39" s="318">
        <v>4</v>
      </c>
      <c r="N39" s="316">
        <v>1179.1666666666665</v>
      </c>
      <c r="O39" s="316">
        <v>5</v>
      </c>
      <c r="P39" s="328">
        <v>1112.5</v>
      </c>
      <c r="Q39" s="330">
        <f t="shared" si="0"/>
        <v>27.695002663035222</v>
      </c>
    </row>
    <row r="40" spans="1:17" x14ac:dyDescent="0.25">
      <c r="A40" s="256">
        <v>457</v>
      </c>
      <c r="B40" s="16" t="s">
        <v>27</v>
      </c>
      <c r="C40" s="16">
        <v>5002</v>
      </c>
      <c r="D40" s="280">
        <v>0.1</v>
      </c>
      <c r="E40" s="326">
        <v>21</v>
      </c>
      <c r="F40" s="316">
        <v>414.99999999999989</v>
      </c>
      <c r="G40" s="316">
        <v>24</v>
      </c>
      <c r="H40" s="324">
        <v>384.99999999999943</v>
      </c>
      <c r="I40" s="318">
        <v>33</v>
      </c>
      <c r="J40" s="316">
        <v>341.74999999999898</v>
      </c>
      <c r="K40" s="316">
        <v>33</v>
      </c>
      <c r="L40" s="324">
        <v>341.74999999999898</v>
      </c>
      <c r="M40" s="318">
        <v>23</v>
      </c>
      <c r="N40" s="316">
        <v>394.99999999999955</v>
      </c>
      <c r="O40" s="316">
        <v>24</v>
      </c>
      <c r="P40" s="328">
        <v>385</v>
      </c>
      <c r="Q40" s="330">
        <f t="shared" si="0"/>
        <v>1.077371311847477</v>
      </c>
    </row>
    <row r="41" spans="1:17" x14ac:dyDescent="0.25">
      <c r="A41" s="256">
        <v>458</v>
      </c>
      <c r="B41" s="16" t="s">
        <v>26</v>
      </c>
      <c r="C41" s="16">
        <v>7889</v>
      </c>
      <c r="D41" s="280">
        <v>0.1</v>
      </c>
      <c r="E41" s="326">
        <v>37</v>
      </c>
      <c r="F41" s="316">
        <v>334.25000000000011</v>
      </c>
      <c r="G41" s="316">
        <v>39</v>
      </c>
      <c r="H41" s="324">
        <v>332.25000000000051</v>
      </c>
      <c r="I41" s="318">
        <v>29</v>
      </c>
      <c r="J41" s="316">
        <v>354.99999999999972</v>
      </c>
      <c r="K41" s="316">
        <v>28</v>
      </c>
      <c r="L41" s="324">
        <v>360.00000000000011</v>
      </c>
      <c r="M41" s="318">
        <v>26</v>
      </c>
      <c r="N41" s="316">
        <v>370</v>
      </c>
      <c r="O41" s="316">
        <v>25</v>
      </c>
      <c r="P41" s="328">
        <v>375</v>
      </c>
      <c r="Q41" s="330">
        <f t="shared" si="0"/>
        <v>-1.0325888107127479</v>
      </c>
    </row>
    <row r="42" spans="1:17" x14ac:dyDescent="0.25">
      <c r="A42" s="256">
        <v>458</v>
      </c>
      <c r="B42" s="16" t="s">
        <v>27</v>
      </c>
      <c r="C42" s="16">
        <v>43978</v>
      </c>
      <c r="D42" s="280">
        <v>0.3</v>
      </c>
      <c r="E42" s="326">
        <v>17</v>
      </c>
      <c r="F42" s="316">
        <v>488.75000000000028</v>
      </c>
      <c r="G42" s="316">
        <v>28</v>
      </c>
      <c r="H42" s="324">
        <v>360.00000000000011</v>
      </c>
      <c r="I42" s="318">
        <v>28</v>
      </c>
      <c r="J42" s="316">
        <v>360.00000000000011</v>
      </c>
      <c r="K42" s="316">
        <v>29</v>
      </c>
      <c r="L42" s="324">
        <v>354.99999999999972</v>
      </c>
      <c r="M42" s="318">
        <v>11</v>
      </c>
      <c r="N42" s="316">
        <v>686.25000000000011</v>
      </c>
      <c r="O42" s="316">
        <v>13</v>
      </c>
      <c r="P42" s="328">
        <v>608.75000000000023</v>
      </c>
      <c r="Q42" s="330">
        <f t="shared" si="0"/>
        <v>166.4034792896062</v>
      </c>
    </row>
    <row r="43" spans="1:17" x14ac:dyDescent="0.25">
      <c r="A43" s="256">
        <v>530</v>
      </c>
      <c r="B43" s="16" t="s">
        <v>26</v>
      </c>
      <c r="C43" s="16">
        <v>32896</v>
      </c>
      <c r="D43" s="280">
        <v>0.2</v>
      </c>
      <c r="E43" s="326">
        <v>23</v>
      </c>
      <c r="F43" s="316">
        <v>394.99999999999955</v>
      </c>
      <c r="G43" s="316">
        <v>40</v>
      </c>
      <c r="H43" s="324">
        <v>331.25</v>
      </c>
      <c r="I43" s="318">
        <v>29</v>
      </c>
      <c r="J43" s="316">
        <v>354.99999999999972</v>
      </c>
      <c r="K43" s="316">
        <v>38</v>
      </c>
      <c r="L43" s="324">
        <v>333.25000000000034</v>
      </c>
      <c r="M43" s="318">
        <v>24</v>
      </c>
      <c r="N43" s="316">
        <v>385</v>
      </c>
      <c r="O43" s="316">
        <v>27</v>
      </c>
      <c r="P43" s="328">
        <v>365</v>
      </c>
      <c r="Q43" s="330">
        <f t="shared" si="0"/>
        <v>60.389470358600875</v>
      </c>
    </row>
    <row r="44" spans="1:17" x14ac:dyDescent="0.25">
      <c r="A44" s="256">
        <v>530</v>
      </c>
      <c r="B44" s="16" t="s">
        <v>27</v>
      </c>
      <c r="C44" s="16">
        <v>18872</v>
      </c>
      <c r="D44" s="280">
        <v>0.6</v>
      </c>
      <c r="E44" s="326">
        <v>38</v>
      </c>
      <c r="F44" s="316">
        <v>333.25000000000034</v>
      </c>
      <c r="G44" s="316">
        <v>47</v>
      </c>
      <c r="H44" s="316">
        <v>325</v>
      </c>
      <c r="I44" s="318">
        <v>43</v>
      </c>
      <c r="J44" s="316">
        <v>327.49999999999915</v>
      </c>
      <c r="K44" s="316">
        <v>46</v>
      </c>
      <c r="L44" s="324">
        <v>325</v>
      </c>
      <c r="M44" s="318">
        <v>2</v>
      </c>
      <c r="N44" s="316">
        <v>1312.5</v>
      </c>
      <c r="O44" s="316">
        <v>4</v>
      </c>
      <c r="P44" s="328">
        <v>1179.1666666666665</v>
      </c>
      <c r="Q44" s="330">
        <f t="shared" si="0"/>
        <v>110.79718647298962</v>
      </c>
    </row>
    <row r="45" spans="1:17" x14ac:dyDescent="0.25">
      <c r="A45" s="256">
        <v>564</v>
      </c>
      <c r="B45" s="16" t="s">
        <v>26</v>
      </c>
      <c r="C45" s="16">
        <v>2046</v>
      </c>
      <c r="D45" s="280">
        <v>0.1</v>
      </c>
      <c r="E45" s="326">
        <v>37</v>
      </c>
      <c r="F45" s="316">
        <v>334.25000000000011</v>
      </c>
      <c r="G45" s="316">
        <v>37</v>
      </c>
      <c r="H45" s="316">
        <v>334.25000000000011</v>
      </c>
      <c r="I45" s="318">
        <v>46</v>
      </c>
      <c r="J45" s="316">
        <v>325</v>
      </c>
      <c r="K45" s="316">
        <v>46</v>
      </c>
      <c r="L45" s="324">
        <v>325</v>
      </c>
      <c r="M45" s="318">
        <v>31</v>
      </c>
      <c r="N45" s="316">
        <v>347.24999999999966</v>
      </c>
      <c r="O45" s="316">
        <v>21</v>
      </c>
      <c r="P45" s="328">
        <v>415</v>
      </c>
      <c r="Q45" s="330">
        <f t="shared" si="0"/>
        <v>-0.91865678620064017</v>
      </c>
    </row>
    <row r="46" spans="1:17" x14ac:dyDescent="0.25">
      <c r="A46" s="256">
        <v>564</v>
      </c>
      <c r="B46" s="16" t="s">
        <v>27</v>
      </c>
      <c r="C46" s="16">
        <v>26591</v>
      </c>
      <c r="D46" s="280">
        <v>0.01</v>
      </c>
      <c r="E46" s="326">
        <v>10</v>
      </c>
      <c r="F46" s="316">
        <v>725</v>
      </c>
      <c r="G46" s="316">
        <v>28</v>
      </c>
      <c r="H46" s="324">
        <v>360.00000000000011</v>
      </c>
      <c r="I46" s="318">
        <v>14</v>
      </c>
      <c r="J46" s="316">
        <v>570.00000000000023</v>
      </c>
      <c r="K46" s="316">
        <v>32</v>
      </c>
      <c r="L46" s="324">
        <v>344.49999999999932</v>
      </c>
      <c r="M46" s="318">
        <v>10</v>
      </c>
      <c r="N46" s="316">
        <v>725</v>
      </c>
      <c r="O46" s="316">
        <v>23</v>
      </c>
      <c r="P46" s="328">
        <v>395</v>
      </c>
      <c r="Q46" s="330">
        <f t="shared" si="0"/>
        <v>23.554972876759024</v>
      </c>
    </row>
    <row r="47" spans="1:17" x14ac:dyDescent="0.25">
      <c r="A47" s="256">
        <v>572</v>
      </c>
      <c r="B47" s="16" t="s">
        <v>26</v>
      </c>
      <c r="C47" s="16">
        <v>48682</v>
      </c>
      <c r="D47" s="280">
        <v>0.1</v>
      </c>
      <c r="E47" s="326">
        <v>13</v>
      </c>
      <c r="F47" s="316">
        <v>608.75000000000023</v>
      </c>
      <c r="G47" s="316">
        <v>16</v>
      </c>
      <c r="H47" s="324">
        <v>510.00000000000011</v>
      </c>
      <c r="I47" s="318">
        <v>5</v>
      </c>
      <c r="J47" s="316">
        <v>1112.5</v>
      </c>
      <c r="K47" s="316">
        <v>9</v>
      </c>
      <c r="L47" s="324">
        <v>802.50000000000057</v>
      </c>
      <c r="M47" s="318">
        <v>6</v>
      </c>
      <c r="N47" s="316">
        <v>1035.0000000000002</v>
      </c>
      <c r="O47" s="316">
        <v>8</v>
      </c>
      <c r="P47" s="328">
        <v>880.00000000000045</v>
      </c>
      <c r="Q47" s="330">
        <f t="shared" si="0"/>
        <v>398.95401730594574</v>
      </c>
    </row>
    <row r="48" spans="1:17" x14ac:dyDescent="0.25">
      <c r="A48" s="256">
        <v>572</v>
      </c>
      <c r="B48" s="16" t="s">
        <v>27</v>
      </c>
      <c r="C48" s="16">
        <v>1534</v>
      </c>
      <c r="D48" s="280">
        <v>0.2</v>
      </c>
      <c r="E48" s="326">
        <v>33</v>
      </c>
      <c r="F48" s="316">
        <v>341.74999999999898</v>
      </c>
      <c r="G48" s="316">
        <v>10</v>
      </c>
      <c r="H48" s="324">
        <v>725</v>
      </c>
      <c r="I48" s="318">
        <v>42</v>
      </c>
      <c r="J48" s="316">
        <v>328.74999999999943</v>
      </c>
      <c r="K48" s="316">
        <v>38</v>
      </c>
      <c r="L48" s="324">
        <v>333.25000000000034</v>
      </c>
      <c r="M48" s="318">
        <v>36</v>
      </c>
      <c r="N48" s="316">
        <v>335.24999999999989</v>
      </c>
      <c r="O48" s="316">
        <v>8</v>
      </c>
      <c r="P48" s="328">
        <v>880.00000000000045</v>
      </c>
      <c r="Q48" s="330">
        <f t="shared" si="0"/>
        <v>-17.217931434407717</v>
      </c>
    </row>
    <row r="49" spans="1:17" x14ac:dyDescent="0.25">
      <c r="A49" s="256">
        <v>573</v>
      </c>
      <c r="B49" s="16" t="s">
        <v>26</v>
      </c>
      <c r="C49" s="16">
        <v>2056</v>
      </c>
      <c r="D49" s="280">
        <v>0.2</v>
      </c>
      <c r="E49" s="326">
        <v>30</v>
      </c>
      <c r="F49" s="316">
        <v>350</v>
      </c>
      <c r="G49" s="316">
        <v>34</v>
      </c>
      <c r="H49" s="324">
        <v>338.99999999999864</v>
      </c>
      <c r="I49" s="318">
        <v>8</v>
      </c>
      <c r="J49" s="316">
        <v>880.00000000000045</v>
      </c>
      <c r="K49" s="316">
        <v>12</v>
      </c>
      <c r="L49" s="324">
        <v>647.50000000000011</v>
      </c>
      <c r="M49" s="318">
        <v>5</v>
      </c>
      <c r="N49" s="316">
        <v>1112.5</v>
      </c>
      <c r="O49" s="316">
        <v>9</v>
      </c>
      <c r="P49" s="328">
        <v>802.50000000000057</v>
      </c>
      <c r="Q49" s="330">
        <f t="shared" si="0"/>
        <v>29.264775487970997</v>
      </c>
    </row>
    <row r="50" spans="1:17" x14ac:dyDescent="0.25">
      <c r="A50" s="256">
        <v>573</v>
      </c>
      <c r="B50" s="16" t="s">
        <v>27</v>
      </c>
      <c r="C50" s="16">
        <v>46996</v>
      </c>
      <c r="D50" s="280">
        <v>0.1</v>
      </c>
      <c r="E50" s="326">
        <v>23</v>
      </c>
      <c r="F50" s="316">
        <v>394.99999999999955</v>
      </c>
      <c r="G50" s="316">
        <v>13</v>
      </c>
      <c r="H50" s="324">
        <v>608.75000000000023</v>
      </c>
      <c r="I50" s="318">
        <v>36</v>
      </c>
      <c r="J50" s="316">
        <v>335.24999999999989</v>
      </c>
      <c r="K50" s="316">
        <v>36</v>
      </c>
      <c r="L50" s="324">
        <v>335.24999999999989</v>
      </c>
      <c r="M50" s="318">
        <v>27</v>
      </c>
      <c r="N50" s="316">
        <v>365</v>
      </c>
      <c r="O50" s="316">
        <v>10</v>
      </c>
      <c r="P50" s="328">
        <v>725</v>
      </c>
      <c r="Q50" s="330">
        <f t="shared" si="0"/>
        <v>-162.05540229232878</v>
      </c>
    </row>
    <row r="51" spans="1:17" x14ac:dyDescent="0.25">
      <c r="A51" s="256">
        <v>574</v>
      </c>
      <c r="B51" s="16" t="s">
        <v>26</v>
      </c>
      <c r="C51" s="16">
        <v>43926</v>
      </c>
      <c r="D51" s="280">
        <v>0.1</v>
      </c>
      <c r="E51" s="326">
        <v>43</v>
      </c>
      <c r="F51" s="316">
        <v>327.49999999999915</v>
      </c>
      <c r="G51" s="316">
        <v>42</v>
      </c>
      <c r="H51" s="324">
        <v>328.74999999999943</v>
      </c>
      <c r="I51" s="318">
        <v>38</v>
      </c>
      <c r="J51" s="316">
        <v>333.25000000000034</v>
      </c>
      <c r="K51" s="316">
        <v>36</v>
      </c>
      <c r="L51" s="324">
        <v>335.24999999999989</v>
      </c>
      <c r="M51" s="318">
        <v>32</v>
      </c>
      <c r="N51" s="316">
        <v>344.49999999999932</v>
      </c>
      <c r="O51" s="316">
        <v>32</v>
      </c>
      <c r="P51" s="328">
        <v>344.49999999999932</v>
      </c>
      <c r="Q51" s="330">
        <f t="shared" si="0"/>
        <v>-2.1651450408530137</v>
      </c>
    </row>
    <row r="52" spans="1:17" x14ac:dyDescent="0.25">
      <c r="A52" s="256">
        <v>574</v>
      </c>
      <c r="B52" s="16" t="s">
        <v>27</v>
      </c>
      <c r="C52" s="16">
        <v>41082</v>
      </c>
      <c r="D52" s="280">
        <v>0.7</v>
      </c>
      <c r="E52" s="326">
        <v>36</v>
      </c>
      <c r="F52" s="316">
        <v>335.24999999999989</v>
      </c>
      <c r="G52" s="316">
        <v>39</v>
      </c>
      <c r="H52" s="324">
        <v>332.25000000000051</v>
      </c>
      <c r="I52" s="318">
        <v>37</v>
      </c>
      <c r="J52" s="316">
        <v>334.25000000000011</v>
      </c>
      <c r="K52" s="316">
        <v>40</v>
      </c>
      <c r="L52" s="324">
        <v>331.25</v>
      </c>
      <c r="M52" s="318">
        <v>38</v>
      </c>
      <c r="N52" s="316">
        <v>333.25000000000034</v>
      </c>
      <c r="O52" s="316">
        <v>37</v>
      </c>
      <c r="P52" s="328">
        <v>334.25</v>
      </c>
      <c r="Q52" s="330">
        <f t="shared" si="0"/>
        <v>20.964314298684073</v>
      </c>
    </row>
    <row r="53" spans="1:17" x14ac:dyDescent="0.25">
      <c r="A53" s="256">
        <v>590</v>
      </c>
      <c r="B53" s="16" t="s">
        <v>26</v>
      </c>
      <c r="C53" s="16">
        <v>39661</v>
      </c>
      <c r="D53" s="280">
        <v>0.3</v>
      </c>
      <c r="E53" s="326">
        <v>44</v>
      </c>
      <c r="F53" s="316">
        <v>326.24999999999886</v>
      </c>
      <c r="G53" s="316">
        <v>46</v>
      </c>
      <c r="H53" s="324">
        <v>325</v>
      </c>
      <c r="I53" s="318">
        <v>44</v>
      </c>
      <c r="J53" s="316">
        <v>326.24999999999886</v>
      </c>
      <c r="K53" s="316">
        <v>46</v>
      </c>
      <c r="L53" s="324">
        <v>325</v>
      </c>
      <c r="M53" s="318">
        <v>44</v>
      </c>
      <c r="N53" s="316">
        <v>326.24999999999886</v>
      </c>
      <c r="O53" s="316">
        <v>44</v>
      </c>
      <c r="P53" s="328">
        <v>326.24999999999886</v>
      </c>
      <c r="Q53" s="330">
        <f t="shared" si="0"/>
        <v>3.9426958692655925</v>
      </c>
    </row>
    <row r="54" spans="1:17" x14ac:dyDescent="0.25">
      <c r="A54" s="256">
        <v>590</v>
      </c>
      <c r="B54" s="16" t="s">
        <v>27</v>
      </c>
      <c r="C54" s="16">
        <v>41136</v>
      </c>
      <c r="D54" s="280">
        <v>0.3</v>
      </c>
      <c r="E54" s="326">
        <v>44</v>
      </c>
      <c r="F54" s="316">
        <v>326.24999999999886</v>
      </c>
      <c r="G54" s="316">
        <v>45</v>
      </c>
      <c r="H54" s="316">
        <v>325</v>
      </c>
      <c r="I54" s="318">
        <v>45</v>
      </c>
      <c r="J54" s="316">
        <v>325</v>
      </c>
      <c r="K54" s="316">
        <v>45</v>
      </c>
      <c r="L54" s="324">
        <v>325</v>
      </c>
      <c r="M54" s="318">
        <v>46</v>
      </c>
      <c r="N54" s="316">
        <v>325</v>
      </c>
      <c r="O54" s="316">
        <v>46</v>
      </c>
      <c r="P54" s="328">
        <v>325</v>
      </c>
      <c r="Q54" s="330">
        <f t="shared" si="0"/>
        <v>0.76674852473829502</v>
      </c>
    </row>
    <row r="55" spans="1:17" x14ac:dyDescent="0.25">
      <c r="A55" s="256">
        <v>591</v>
      </c>
      <c r="B55" s="16" t="s">
        <v>26</v>
      </c>
      <c r="C55" s="16">
        <v>39661</v>
      </c>
      <c r="D55" s="280">
        <v>0.3</v>
      </c>
      <c r="E55" s="326">
        <v>44</v>
      </c>
      <c r="F55" s="316">
        <v>326.24999999999886</v>
      </c>
      <c r="G55" s="316">
        <v>45</v>
      </c>
      <c r="H55" s="316">
        <v>325</v>
      </c>
      <c r="I55" s="318">
        <v>42</v>
      </c>
      <c r="J55" s="316">
        <v>328.74999999999943</v>
      </c>
      <c r="K55" s="316">
        <v>44</v>
      </c>
      <c r="L55" s="324">
        <v>326.24999999999886</v>
      </c>
      <c r="M55" s="318">
        <v>30</v>
      </c>
      <c r="N55" s="316">
        <v>350</v>
      </c>
      <c r="O55" s="316">
        <v>38</v>
      </c>
      <c r="P55" s="328">
        <v>333.25</v>
      </c>
      <c r="Q55" s="330">
        <f t="shared" si="0"/>
        <v>20.354167425102915</v>
      </c>
    </row>
    <row r="56" spans="1:17" x14ac:dyDescent="0.25">
      <c r="A56" s="256">
        <v>591</v>
      </c>
      <c r="B56" s="16" t="s">
        <v>27</v>
      </c>
      <c r="C56" s="16">
        <v>41136</v>
      </c>
      <c r="D56" s="280">
        <v>0.1</v>
      </c>
      <c r="E56" s="326">
        <v>41</v>
      </c>
      <c r="F56" s="316">
        <v>329.99999999999972</v>
      </c>
      <c r="G56" s="316">
        <v>43</v>
      </c>
      <c r="H56" s="324">
        <v>327.49999999999915</v>
      </c>
      <c r="I56" s="318">
        <v>41</v>
      </c>
      <c r="J56" s="316">
        <v>329.99999999999972</v>
      </c>
      <c r="K56" s="316">
        <v>44</v>
      </c>
      <c r="L56" s="324">
        <v>326.24999999999886</v>
      </c>
      <c r="M56" s="318">
        <v>43</v>
      </c>
      <c r="N56" s="316">
        <v>327.49999999999915</v>
      </c>
      <c r="O56" s="316">
        <v>45</v>
      </c>
      <c r="P56" s="328">
        <v>325</v>
      </c>
      <c r="Q56" s="330">
        <f t="shared" si="0"/>
        <v>4.515296867908039</v>
      </c>
    </row>
    <row r="57" spans="1:17" x14ac:dyDescent="0.25">
      <c r="A57" s="256">
        <v>594</v>
      </c>
      <c r="B57" s="16" t="s">
        <v>26</v>
      </c>
      <c r="C57" s="16">
        <v>16451</v>
      </c>
      <c r="D57" s="280">
        <v>0.6</v>
      </c>
      <c r="E57" s="326">
        <v>43</v>
      </c>
      <c r="F57" s="316">
        <v>327.49999999999915</v>
      </c>
      <c r="G57" s="316">
        <v>45</v>
      </c>
      <c r="H57" s="324">
        <v>325</v>
      </c>
      <c r="I57" s="318">
        <v>49</v>
      </c>
      <c r="J57" s="316">
        <v>325</v>
      </c>
      <c r="K57" s="316">
        <v>51</v>
      </c>
      <c r="L57" s="324">
        <v>325</v>
      </c>
      <c r="M57" s="318">
        <v>44</v>
      </c>
      <c r="N57" s="316">
        <v>326.24999999999886</v>
      </c>
      <c r="O57" s="316">
        <v>48</v>
      </c>
      <c r="P57" s="328">
        <v>325</v>
      </c>
      <c r="Q57" s="330">
        <f t="shared" si="0"/>
        <v>2.0442402405798634</v>
      </c>
    </row>
    <row r="58" spans="1:17" x14ac:dyDescent="0.25">
      <c r="A58" s="256">
        <v>594</v>
      </c>
      <c r="B58" s="16" t="s">
        <v>27</v>
      </c>
      <c r="C58" s="16">
        <v>20089</v>
      </c>
      <c r="D58" s="280">
        <v>0.9</v>
      </c>
      <c r="E58" s="326">
        <v>44</v>
      </c>
      <c r="F58" s="316">
        <v>326.24999999999886</v>
      </c>
      <c r="G58" s="316">
        <v>47</v>
      </c>
      <c r="H58" s="324">
        <v>325</v>
      </c>
      <c r="I58" s="318">
        <v>46</v>
      </c>
      <c r="J58" s="316">
        <v>325</v>
      </c>
      <c r="K58" s="316">
        <v>48</v>
      </c>
      <c r="L58" s="324">
        <v>325</v>
      </c>
      <c r="M58" s="318">
        <v>11</v>
      </c>
      <c r="N58" s="316">
        <v>686.25000000000011</v>
      </c>
      <c r="O58" s="316">
        <v>45</v>
      </c>
      <c r="P58" s="328">
        <v>325</v>
      </c>
      <c r="Q58" s="330">
        <f t="shared" si="0"/>
        <v>433.9829268894681</v>
      </c>
    </row>
    <row r="59" spans="1:17" x14ac:dyDescent="0.25">
      <c r="A59" s="256">
        <v>722</v>
      </c>
      <c r="B59" s="16" t="s">
        <v>26</v>
      </c>
      <c r="C59" s="16">
        <v>39059</v>
      </c>
      <c r="D59" s="280">
        <v>0.7</v>
      </c>
      <c r="E59" s="326">
        <v>38</v>
      </c>
      <c r="F59" s="316">
        <v>333.25000000000034</v>
      </c>
      <c r="G59" s="316">
        <v>47</v>
      </c>
      <c r="H59" s="324">
        <v>325</v>
      </c>
      <c r="I59" s="318">
        <v>34</v>
      </c>
      <c r="J59" s="316">
        <v>338.99999999999864</v>
      </c>
      <c r="K59" s="316">
        <v>40</v>
      </c>
      <c r="L59" s="324">
        <v>331.25</v>
      </c>
      <c r="M59" s="318">
        <v>33</v>
      </c>
      <c r="N59" s="316">
        <v>341.74999999999898</v>
      </c>
      <c r="O59" s="316">
        <v>41</v>
      </c>
      <c r="P59" s="328">
        <v>330</v>
      </c>
      <c r="Q59" s="330">
        <f t="shared" si="0"/>
        <v>78.142378631402295</v>
      </c>
    </row>
    <row r="60" spans="1:17" x14ac:dyDescent="0.25">
      <c r="A60" s="256">
        <v>722</v>
      </c>
      <c r="B60" s="16" t="s">
        <v>27</v>
      </c>
      <c r="C60" s="16">
        <v>43514</v>
      </c>
      <c r="D60" s="280">
        <v>0.1</v>
      </c>
      <c r="E60" s="326">
        <v>25</v>
      </c>
      <c r="F60" s="316">
        <v>375</v>
      </c>
      <c r="G60" s="316">
        <v>30</v>
      </c>
      <c r="H60" s="324">
        <v>350</v>
      </c>
      <c r="I60" s="318">
        <v>37</v>
      </c>
      <c r="J60" s="316">
        <v>334.25000000000011</v>
      </c>
      <c r="K60" s="316">
        <v>37</v>
      </c>
      <c r="L60" s="324">
        <v>334.25000000000011</v>
      </c>
      <c r="M60" s="318">
        <v>37</v>
      </c>
      <c r="N60" s="316">
        <v>334.25000000000011</v>
      </c>
      <c r="O60" s="316">
        <v>37</v>
      </c>
      <c r="P60" s="328">
        <v>334.25</v>
      </c>
      <c r="Q60" s="330">
        <f t="shared" si="0"/>
        <v>5.4071527462551394</v>
      </c>
    </row>
    <row r="61" spans="1:17" x14ac:dyDescent="0.25">
      <c r="A61" s="256">
        <v>723</v>
      </c>
      <c r="B61" s="16" t="s">
        <v>26</v>
      </c>
      <c r="C61" s="16">
        <v>42416</v>
      </c>
      <c r="D61" s="280">
        <v>0.2</v>
      </c>
      <c r="E61" s="326">
        <v>39</v>
      </c>
      <c r="F61" s="316">
        <v>332.25000000000051</v>
      </c>
      <c r="G61" s="316">
        <v>35</v>
      </c>
      <c r="H61" s="324">
        <v>336.24999999999972</v>
      </c>
      <c r="I61" s="318">
        <v>40</v>
      </c>
      <c r="J61" s="316">
        <v>331.25</v>
      </c>
      <c r="K61" s="316">
        <v>37</v>
      </c>
      <c r="L61" s="324">
        <v>334.25000000000011</v>
      </c>
      <c r="M61" s="318">
        <v>25</v>
      </c>
      <c r="N61" s="316">
        <v>375</v>
      </c>
      <c r="O61" s="316">
        <v>29</v>
      </c>
      <c r="P61" s="328">
        <v>354.99999999999972</v>
      </c>
      <c r="Q61" s="330">
        <f t="shared" si="0"/>
        <v>4.076017793917674</v>
      </c>
    </row>
    <row r="62" spans="1:17" x14ac:dyDescent="0.25">
      <c r="A62" s="256">
        <v>723</v>
      </c>
      <c r="B62" s="16" t="s">
        <v>27</v>
      </c>
      <c r="C62" s="16">
        <v>38607</v>
      </c>
      <c r="D62" s="280">
        <v>0.7</v>
      </c>
      <c r="E62" s="326">
        <v>15</v>
      </c>
      <c r="F62" s="316">
        <v>531.25</v>
      </c>
      <c r="G62" s="316">
        <v>38</v>
      </c>
      <c r="H62" s="324">
        <v>333.25000000000034</v>
      </c>
      <c r="I62" s="318">
        <v>38</v>
      </c>
      <c r="J62" s="316">
        <v>333.25000000000034</v>
      </c>
      <c r="K62" s="316">
        <v>43</v>
      </c>
      <c r="L62" s="324">
        <v>327.49999999999915</v>
      </c>
      <c r="M62" s="318">
        <v>39</v>
      </c>
      <c r="N62" s="316">
        <v>332.25000000000051</v>
      </c>
      <c r="O62" s="316">
        <v>37</v>
      </c>
      <c r="P62" s="328">
        <v>334.25</v>
      </c>
      <c r="Q62" s="330">
        <f t="shared" si="0"/>
        <v>295.85549143781941</v>
      </c>
    </row>
    <row r="63" spans="1:17" x14ac:dyDescent="0.25">
      <c r="A63" s="256">
        <v>724</v>
      </c>
      <c r="B63" s="16" t="s">
        <v>26</v>
      </c>
      <c r="C63" s="16">
        <v>35067</v>
      </c>
      <c r="D63" s="280">
        <v>0.7</v>
      </c>
      <c r="E63" s="326">
        <v>48</v>
      </c>
      <c r="F63" s="316">
        <v>325</v>
      </c>
      <c r="G63" s="316">
        <v>51</v>
      </c>
      <c r="H63" s="316">
        <v>325</v>
      </c>
      <c r="I63" s="318">
        <v>41</v>
      </c>
      <c r="J63" s="316">
        <v>329.99999999999972</v>
      </c>
      <c r="K63" s="316">
        <v>46</v>
      </c>
      <c r="L63" s="324">
        <v>325</v>
      </c>
      <c r="M63" s="318">
        <v>21</v>
      </c>
      <c r="N63" s="316">
        <v>414.99999999999989</v>
      </c>
      <c r="O63" s="316">
        <v>43</v>
      </c>
      <c r="P63" s="328">
        <v>327.49999999999915</v>
      </c>
      <c r="Q63" s="330">
        <f t="shared" si="0"/>
        <v>168.78082966409411</v>
      </c>
    </row>
    <row r="64" spans="1:17" x14ac:dyDescent="0.25">
      <c r="A64" s="256">
        <v>724</v>
      </c>
      <c r="B64" s="16" t="s">
        <v>27</v>
      </c>
      <c r="C64" s="16">
        <v>39336</v>
      </c>
      <c r="D64" s="280">
        <v>0.2</v>
      </c>
      <c r="E64" s="326">
        <v>39</v>
      </c>
      <c r="F64" s="316">
        <v>332.25000000000051</v>
      </c>
      <c r="G64" s="316">
        <v>37</v>
      </c>
      <c r="H64" s="316">
        <v>334.25000000000011</v>
      </c>
      <c r="I64" s="318">
        <v>45</v>
      </c>
      <c r="J64" s="316">
        <v>325</v>
      </c>
      <c r="K64" s="316">
        <v>43</v>
      </c>
      <c r="L64" s="324">
        <v>327.49999999999915</v>
      </c>
      <c r="M64" s="318">
        <v>42</v>
      </c>
      <c r="N64" s="316">
        <v>328.74999999999943</v>
      </c>
      <c r="O64" s="316">
        <v>42</v>
      </c>
      <c r="P64" s="328">
        <v>328.74999999999943</v>
      </c>
      <c r="Q64" s="330">
        <f t="shared" si="0"/>
        <v>-5.0183308216052991</v>
      </c>
    </row>
    <row r="65" spans="1:17" x14ac:dyDescent="0.25">
      <c r="A65" s="256">
        <v>725</v>
      </c>
      <c r="B65" s="16" t="s">
        <v>26</v>
      </c>
      <c r="C65" s="16">
        <v>36956</v>
      </c>
      <c r="D65" s="280">
        <v>0.1</v>
      </c>
      <c r="E65" s="326">
        <v>39</v>
      </c>
      <c r="F65" s="316">
        <v>331.25</v>
      </c>
      <c r="G65" s="316">
        <v>42</v>
      </c>
      <c r="H65" s="316">
        <v>328.74999999999943</v>
      </c>
      <c r="I65" s="318">
        <v>38</v>
      </c>
      <c r="J65" s="316">
        <v>333.25000000000034</v>
      </c>
      <c r="K65" s="316">
        <v>42</v>
      </c>
      <c r="L65" s="324">
        <v>328.74999999999943</v>
      </c>
      <c r="M65" s="318">
        <v>16</v>
      </c>
      <c r="N65" s="316">
        <v>510.00000000000011</v>
      </c>
      <c r="O65" s="316">
        <v>38</v>
      </c>
      <c r="P65" s="328">
        <v>333.25</v>
      </c>
      <c r="Q65" s="330">
        <f t="shared" si="0"/>
        <v>47.33068824330546</v>
      </c>
    </row>
    <row r="66" spans="1:17" x14ac:dyDescent="0.25">
      <c r="A66" s="256">
        <v>725</v>
      </c>
      <c r="B66" s="16" t="s">
        <v>27</v>
      </c>
      <c r="C66" s="16">
        <v>36706</v>
      </c>
      <c r="D66" s="280">
        <v>0.7</v>
      </c>
      <c r="E66" s="326">
        <v>36</v>
      </c>
      <c r="F66" s="316">
        <v>335.24999999999989</v>
      </c>
      <c r="G66" s="316">
        <v>43</v>
      </c>
      <c r="H66" s="324">
        <v>327.49999999999915</v>
      </c>
      <c r="I66" s="318">
        <v>40</v>
      </c>
      <c r="J66" s="316">
        <v>331.25</v>
      </c>
      <c r="K66" s="316">
        <v>46</v>
      </c>
      <c r="L66" s="324">
        <v>325</v>
      </c>
      <c r="M66" s="318">
        <v>39</v>
      </c>
      <c r="N66" s="316">
        <v>332.25000000000051</v>
      </c>
      <c r="O66" s="316">
        <v>41</v>
      </c>
      <c r="P66" s="328">
        <v>330</v>
      </c>
      <c r="Q66" s="330">
        <f t="shared" si="0"/>
        <v>48.318042237859274</v>
      </c>
    </row>
    <row r="67" spans="1:17" x14ac:dyDescent="0.25">
      <c r="A67" s="256">
        <v>726</v>
      </c>
      <c r="B67" s="16" t="s">
        <v>26</v>
      </c>
      <c r="C67" s="16">
        <v>33868</v>
      </c>
      <c r="D67" s="280">
        <v>0.7</v>
      </c>
      <c r="E67" s="326">
        <v>47</v>
      </c>
      <c r="F67" s="316">
        <v>325</v>
      </c>
      <c r="G67" s="316">
        <v>48</v>
      </c>
      <c r="H67" s="324">
        <v>325</v>
      </c>
      <c r="I67" s="318">
        <v>42</v>
      </c>
      <c r="J67" s="316">
        <v>328.74999999999943</v>
      </c>
      <c r="K67" s="316">
        <v>43</v>
      </c>
      <c r="L67" s="324">
        <v>327.49999999999915</v>
      </c>
      <c r="M67" s="318">
        <v>8</v>
      </c>
      <c r="N67" s="316">
        <v>880.00000000000045</v>
      </c>
      <c r="O67" s="316">
        <v>10</v>
      </c>
      <c r="P67" s="328">
        <v>725</v>
      </c>
      <c r="Q67" s="330">
        <f t="shared" si="0"/>
        <v>249.9158230821628</v>
      </c>
    </row>
    <row r="68" spans="1:17" x14ac:dyDescent="0.25">
      <c r="A68" s="256">
        <v>726</v>
      </c>
      <c r="B68" s="16" t="s">
        <v>27</v>
      </c>
      <c r="C68" s="16">
        <v>38158</v>
      </c>
      <c r="D68" s="280">
        <v>0.2</v>
      </c>
      <c r="E68" s="326">
        <v>36</v>
      </c>
      <c r="F68" s="316">
        <v>335.24999999999989</v>
      </c>
      <c r="G68" s="316">
        <v>43</v>
      </c>
      <c r="H68" s="324">
        <v>327.49999999999915</v>
      </c>
      <c r="I68" s="318">
        <v>42</v>
      </c>
      <c r="J68" s="316">
        <v>328.74999999999943</v>
      </c>
      <c r="K68" s="316">
        <v>44</v>
      </c>
      <c r="L68" s="324">
        <v>326.24999999999886</v>
      </c>
      <c r="M68" s="318">
        <v>29</v>
      </c>
      <c r="N68" s="316">
        <v>355</v>
      </c>
      <c r="O68" s="316">
        <v>38</v>
      </c>
      <c r="P68" s="328">
        <v>333.25</v>
      </c>
      <c r="Q68" s="330">
        <f t="shared" si="0"/>
        <v>18.049703971857777</v>
      </c>
    </row>
    <row r="69" spans="1:17" x14ac:dyDescent="0.25">
      <c r="A69" s="256">
        <v>741</v>
      </c>
      <c r="B69" s="16" t="s">
        <v>26</v>
      </c>
      <c r="C69" s="16">
        <v>37776</v>
      </c>
      <c r="D69" s="280">
        <v>0.2</v>
      </c>
      <c r="E69" s="326">
        <v>37</v>
      </c>
      <c r="F69" s="316">
        <v>334.25000000000011</v>
      </c>
      <c r="G69" s="316">
        <v>41</v>
      </c>
      <c r="H69" s="324">
        <v>329.99999999999972</v>
      </c>
      <c r="I69" s="318">
        <v>42</v>
      </c>
      <c r="J69" s="316">
        <v>328.74999999999943</v>
      </c>
      <c r="K69" s="316">
        <v>43</v>
      </c>
      <c r="L69" s="324">
        <v>327.49999999999915</v>
      </c>
      <c r="M69" s="318">
        <v>17</v>
      </c>
      <c r="N69" s="316">
        <v>488.75000000000028</v>
      </c>
      <c r="O69" s="316">
        <v>14</v>
      </c>
      <c r="P69" s="328">
        <v>570.00000000000023</v>
      </c>
      <c r="Q69" s="330">
        <f t="shared" si="0"/>
        <v>-37.052374398546796</v>
      </c>
    </row>
    <row r="70" spans="1:17" x14ac:dyDescent="0.25">
      <c r="A70" s="256">
        <v>741</v>
      </c>
      <c r="B70" s="16" t="s">
        <v>27</v>
      </c>
      <c r="C70" s="16">
        <v>35033</v>
      </c>
      <c r="D70" s="280">
        <v>0.2</v>
      </c>
      <c r="E70" s="326">
        <v>29</v>
      </c>
      <c r="F70" s="316">
        <v>354.99999999999972</v>
      </c>
      <c r="G70" s="316">
        <v>36</v>
      </c>
      <c r="H70" s="324">
        <v>335.24999999999989</v>
      </c>
      <c r="I70" s="318">
        <v>31</v>
      </c>
      <c r="J70" s="316">
        <v>347.24999999999966</v>
      </c>
      <c r="K70" s="316">
        <v>37</v>
      </c>
      <c r="L70" s="324">
        <v>334.25000000000011</v>
      </c>
      <c r="M70" s="318">
        <v>2</v>
      </c>
      <c r="N70" s="316">
        <v>1312.5</v>
      </c>
      <c r="O70" s="316">
        <v>2</v>
      </c>
      <c r="P70" s="328">
        <v>1312.5</v>
      </c>
      <c r="Q70" s="330">
        <f t="shared" ref="Q70:Q90" si="1">(((C70*D70*0.15)*(F70-H70)+(C70*D70*0.65)*(J70-L70)+(C70*D70*0.2)*(N70-P70))/1101500)*365</f>
        <v>26.496986121197622</v>
      </c>
    </row>
    <row r="71" spans="1:17" x14ac:dyDescent="0.25">
      <c r="A71" s="256">
        <v>782</v>
      </c>
      <c r="B71" s="16" t="s">
        <v>26</v>
      </c>
      <c r="C71" s="16">
        <v>42273</v>
      </c>
      <c r="D71" s="280">
        <v>0.4</v>
      </c>
      <c r="E71" s="326">
        <v>37</v>
      </c>
      <c r="F71" s="316">
        <v>334.25000000000011</v>
      </c>
      <c r="G71" s="316">
        <v>42</v>
      </c>
      <c r="H71" s="324">
        <v>328.74999999999943</v>
      </c>
      <c r="I71" s="318">
        <v>35</v>
      </c>
      <c r="J71" s="316">
        <v>336.24999999999972</v>
      </c>
      <c r="K71" s="316">
        <v>40</v>
      </c>
      <c r="L71" s="324">
        <v>331.25</v>
      </c>
      <c r="M71" s="318">
        <v>31</v>
      </c>
      <c r="N71" s="316">
        <v>347.24999999999966</v>
      </c>
      <c r="O71" s="316">
        <v>39</v>
      </c>
      <c r="P71" s="328">
        <v>332.25</v>
      </c>
      <c r="Q71" s="330">
        <f t="shared" si="1"/>
        <v>39.642210939626942</v>
      </c>
    </row>
    <row r="72" spans="1:17" x14ac:dyDescent="0.25">
      <c r="A72" s="256">
        <v>782</v>
      </c>
      <c r="B72" s="16" t="s">
        <v>27</v>
      </c>
      <c r="C72" s="16">
        <v>43958</v>
      </c>
      <c r="D72" s="280">
        <v>0.1</v>
      </c>
      <c r="E72" s="326">
        <v>35</v>
      </c>
      <c r="F72" s="316">
        <v>336.24999999999972</v>
      </c>
      <c r="G72" s="316">
        <v>30</v>
      </c>
      <c r="H72" s="324">
        <v>350</v>
      </c>
      <c r="I72" s="318">
        <v>38</v>
      </c>
      <c r="J72" s="316">
        <v>333.25000000000034</v>
      </c>
      <c r="K72" s="316">
        <v>37</v>
      </c>
      <c r="L72" s="324">
        <v>334.25000000000011</v>
      </c>
      <c r="M72" s="318">
        <v>37</v>
      </c>
      <c r="N72" s="316">
        <v>334.25000000000011</v>
      </c>
      <c r="O72" s="316">
        <v>29</v>
      </c>
      <c r="P72" s="328">
        <v>354.99999999999972</v>
      </c>
      <c r="Q72" s="330">
        <f t="shared" si="1"/>
        <v>-9.9960551861095812</v>
      </c>
    </row>
    <row r="73" spans="1:17" x14ac:dyDescent="0.25">
      <c r="A73" s="256">
        <v>783</v>
      </c>
      <c r="B73" s="16" t="s">
        <v>26</v>
      </c>
      <c r="C73" s="16">
        <v>48682</v>
      </c>
      <c r="D73" s="280">
        <v>0.1</v>
      </c>
      <c r="E73" s="326">
        <v>42</v>
      </c>
      <c r="F73" s="316">
        <v>328.74999999999943</v>
      </c>
      <c r="G73" s="316">
        <v>40</v>
      </c>
      <c r="H73" s="324">
        <v>331.25</v>
      </c>
      <c r="I73" s="318">
        <v>43</v>
      </c>
      <c r="J73" s="316">
        <v>327.49999999999915</v>
      </c>
      <c r="K73" s="316">
        <v>42</v>
      </c>
      <c r="L73" s="324">
        <v>328.74999999999943</v>
      </c>
      <c r="M73" s="318">
        <v>36</v>
      </c>
      <c r="N73" s="316">
        <v>335.24999999999989</v>
      </c>
      <c r="O73" s="316">
        <v>32</v>
      </c>
      <c r="P73" s="328">
        <v>344.49999999999932</v>
      </c>
      <c r="Q73" s="330">
        <f t="shared" si="1"/>
        <v>-4.8999659441672971</v>
      </c>
    </row>
    <row r="74" spans="1:17" x14ac:dyDescent="0.25">
      <c r="A74" s="256">
        <v>783</v>
      </c>
      <c r="B74" s="16" t="s">
        <v>27</v>
      </c>
      <c r="C74" s="16">
        <v>41835</v>
      </c>
      <c r="D74" s="280">
        <v>0.4</v>
      </c>
      <c r="E74" s="326">
        <v>36</v>
      </c>
      <c r="F74" s="316">
        <v>335.24999999999989</v>
      </c>
      <c r="G74" s="316">
        <v>42</v>
      </c>
      <c r="H74" s="324">
        <v>328.74999999999943</v>
      </c>
      <c r="I74" s="318">
        <v>42</v>
      </c>
      <c r="J74" s="316">
        <v>328.74999999999943</v>
      </c>
      <c r="K74" s="316">
        <v>42</v>
      </c>
      <c r="L74" s="324">
        <v>328.74999999999943</v>
      </c>
      <c r="M74" s="318">
        <v>24</v>
      </c>
      <c r="N74" s="316">
        <v>385</v>
      </c>
      <c r="O74" s="316">
        <v>30</v>
      </c>
      <c r="P74" s="328">
        <v>350</v>
      </c>
      <c r="Q74" s="330">
        <f t="shared" si="1"/>
        <v>44.222044711757071</v>
      </c>
    </row>
    <row r="75" spans="1:17" x14ac:dyDescent="0.25">
      <c r="A75" s="256">
        <v>786</v>
      </c>
      <c r="B75" s="16" t="s">
        <v>26</v>
      </c>
      <c r="C75" s="16">
        <v>17037</v>
      </c>
      <c r="D75" s="280">
        <v>0.1</v>
      </c>
      <c r="E75" s="326">
        <v>16</v>
      </c>
      <c r="F75" s="316">
        <v>510.00000000000011</v>
      </c>
      <c r="G75" s="316">
        <v>37</v>
      </c>
      <c r="H75" s="324">
        <v>334.25000000000011</v>
      </c>
      <c r="I75" s="318">
        <v>13</v>
      </c>
      <c r="J75" s="316">
        <v>608.75000000000023</v>
      </c>
      <c r="K75" s="316">
        <v>36</v>
      </c>
      <c r="L75" s="324">
        <v>335.24999999999989</v>
      </c>
      <c r="M75" s="318">
        <v>6</v>
      </c>
      <c r="N75" s="316">
        <v>1035.0000000000002</v>
      </c>
      <c r="O75" s="316">
        <v>22</v>
      </c>
      <c r="P75" s="328">
        <v>405</v>
      </c>
      <c r="Q75" s="330">
        <f t="shared" si="1"/>
        <v>186.37872850090804</v>
      </c>
    </row>
    <row r="76" spans="1:17" x14ac:dyDescent="0.25">
      <c r="A76" s="256">
        <v>786</v>
      </c>
      <c r="B76" s="16" t="s">
        <v>27</v>
      </c>
      <c r="C76" s="16">
        <v>14202</v>
      </c>
      <c r="D76" s="280">
        <v>0.1</v>
      </c>
      <c r="E76" s="326">
        <v>41</v>
      </c>
      <c r="F76" s="316">
        <v>329.99999999999972</v>
      </c>
      <c r="G76" s="316">
        <v>39</v>
      </c>
      <c r="H76" s="324">
        <v>332.25000000000051</v>
      </c>
      <c r="I76" s="318">
        <v>45</v>
      </c>
      <c r="J76" s="316">
        <v>325</v>
      </c>
      <c r="K76" s="316">
        <v>44</v>
      </c>
      <c r="L76" s="324">
        <v>326.24999999999886</v>
      </c>
      <c r="M76" s="318">
        <v>44</v>
      </c>
      <c r="N76" s="316">
        <v>326.24999999999886</v>
      </c>
      <c r="O76" s="316">
        <v>44</v>
      </c>
      <c r="P76" s="328">
        <v>326.24999999999886</v>
      </c>
      <c r="Q76" s="330">
        <f t="shared" si="1"/>
        <v>-0.54119741261886412</v>
      </c>
    </row>
    <row r="77" spans="1:17" x14ac:dyDescent="0.25">
      <c r="A77" s="256">
        <v>832</v>
      </c>
      <c r="B77" s="16" t="s">
        <v>26</v>
      </c>
      <c r="C77" s="16">
        <v>16451</v>
      </c>
      <c r="D77" s="280">
        <v>0.9</v>
      </c>
      <c r="E77" s="326">
        <v>49</v>
      </c>
      <c r="F77" s="316">
        <v>325</v>
      </c>
      <c r="G77" s="316">
        <v>51</v>
      </c>
      <c r="H77" s="324">
        <v>325</v>
      </c>
      <c r="I77" s="318">
        <v>50</v>
      </c>
      <c r="J77" s="316">
        <v>325</v>
      </c>
      <c r="K77" s="316">
        <v>51</v>
      </c>
      <c r="L77" s="324">
        <v>325</v>
      </c>
      <c r="M77" s="318">
        <v>40</v>
      </c>
      <c r="N77" s="316">
        <v>331.25</v>
      </c>
      <c r="O77" s="316">
        <v>48</v>
      </c>
      <c r="P77" s="328">
        <v>325</v>
      </c>
      <c r="Q77" s="330">
        <f t="shared" si="1"/>
        <v>6.1327207217430777</v>
      </c>
    </row>
    <row r="78" spans="1:17" x14ac:dyDescent="0.25">
      <c r="A78" s="256">
        <v>832</v>
      </c>
      <c r="B78" s="16" t="s">
        <v>27</v>
      </c>
      <c r="C78" s="16">
        <v>15451</v>
      </c>
      <c r="D78" s="280">
        <v>0.1</v>
      </c>
      <c r="E78" s="326">
        <v>22</v>
      </c>
      <c r="F78" s="316">
        <v>404.99999999999972</v>
      </c>
      <c r="G78" s="316">
        <v>38</v>
      </c>
      <c r="H78" s="324">
        <v>333.25000000000034</v>
      </c>
      <c r="I78" s="318">
        <v>19</v>
      </c>
      <c r="J78" s="316">
        <v>446.25000000000057</v>
      </c>
      <c r="K78" s="316">
        <v>28</v>
      </c>
      <c r="L78" s="324">
        <v>360.00000000000011</v>
      </c>
      <c r="M78" s="318">
        <v>17</v>
      </c>
      <c r="N78" s="316">
        <v>488.75000000000028</v>
      </c>
      <c r="O78" s="316">
        <v>22</v>
      </c>
      <c r="P78" s="328">
        <v>405</v>
      </c>
      <c r="Q78" s="330">
        <f t="shared" si="1"/>
        <v>42.789906820245257</v>
      </c>
    </row>
    <row r="79" spans="1:17" x14ac:dyDescent="0.25">
      <c r="A79" s="256">
        <v>922</v>
      </c>
      <c r="B79" s="16" t="s">
        <v>26</v>
      </c>
      <c r="C79" s="16">
        <v>44086</v>
      </c>
      <c r="D79" s="280">
        <v>0.3</v>
      </c>
      <c r="E79" s="326">
        <v>46</v>
      </c>
      <c r="F79" s="316">
        <v>325</v>
      </c>
      <c r="G79" s="316">
        <v>47</v>
      </c>
      <c r="H79" s="316">
        <v>325</v>
      </c>
      <c r="I79" s="318">
        <v>42</v>
      </c>
      <c r="J79" s="316">
        <v>328.74999999999943</v>
      </c>
      <c r="K79" s="316">
        <v>43</v>
      </c>
      <c r="L79" s="324">
        <v>327.49999999999915</v>
      </c>
      <c r="M79" s="318">
        <v>31</v>
      </c>
      <c r="N79" s="316">
        <v>347.24999999999966</v>
      </c>
      <c r="O79" s="316">
        <v>31</v>
      </c>
      <c r="P79" s="328">
        <v>347.24999999999966</v>
      </c>
      <c r="Q79" s="330">
        <f t="shared" si="1"/>
        <v>3.5608500340452944</v>
      </c>
    </row>
    <row r="80" spans="1:17" x14ac:dyDescent="0.25">
      <c r="A80" s="256">
        <v>922</v>
      </c>
      <c r="B80" s="16" t="s">
        <v>27</v>
      </c>
      <c r="C80" s="16">
        <v>42484</v>
      </c>
      <c r="D80" s="280">
        <v>0.1</v>
      </c>
      <c r="E80" s="326">
        <v>42</v>
      </c>
      <c r="F80" s="316">
        <v>328.74999999999943</v>
      </c>
      <c r="G80" s="316">
        <v>43</v>
      </c>
      <c r="H80" s="324">
        <v>327.49999999999915</v>
      </c>
      <c r="I80" s="318">
        <v>38</v>
      </c>
      <c r="J80" s="316">
        <v>333.25000000000034</v>
      </c>
      <c r="K80" s="316">
        <v>37</v>
      </c>
      <c r="L80" s="324">
        <v>334.25000000000011</v>
      </c>
      <c r="M80" s="318">
        <v>30</v>
      </c>
      <c r="N80" s="316">
        <v>350</v>
      </c>
      <c r="O80" s="316">
        <v>32</v>
      </c>
      <c r="P80" s="328">
        <v>344.49999999999932</v>
      </c>
      <c r="Q80" s="330">
        <f t="shared" si="1"/>
        <v>0.89745762596505418</v>
      </c>
    </row>
    <row r="81" spans="1:17" x14ac:dyDescent="0.25">
      <c r="A81" s="256">
        <v>923</v>
      </c>
      <c r="B81" s="16" t="s">
        <v>26</v>
      </c>
      <c r="C81" s="16">
        <v>44086</v>
      </c>
      <c r="D81" s="280">
        <v>0.1</v>
      </c>
      <c r="E81" s="326">
        <v>43</v>
      </c>
      <c r="F81" s="316">
        <v>327.49999999999915</v>
      </c>
      <c r="G81" s="316">
        <v>44</v>
      </c>
      <c r="H81" s="324">
        <v>326.24999999999886</v>
      </c>
      <c r="I81" s="318">
        <v>42</v>
      </c>
      <c r="J81" s="316">
        <v>328.74999999999943</v>
      </c>
      <c r="K81" s="316">
        <v>42</v>
      </c>
      <c r="L81" s="324">
        <v>328.74999999999943</v>
      </c>
      <c r="M81" s="318">
        <v>34</v>
      </c>
      <c r="N81" s="316">
        <v>338.99999999999864</v>
      </c>
      <c r="O81" s="316">
        <v>34</v>
      </c>
      <c r="P81" s="328">
        <v>338.99999999999864</v>
      </c>
      <c r="Q81" s="330">
        <f t="shared" si="1"/>
        <v>0.27391154108040727</v>
      </c>
    </row>
    <row r="82" spans="1:17" x14ac:dyDescent="0.25">
      <c r="A82" s="256">
        <v>923</v>
      </c>
      <c r="B82" s="16" t="s">
        <v>27</v>
      </c>
      <c r="C82" s="16">
        <v>42484</v>
      </c>
      <c r="D82" s="280">
        <v>0.4</v>
      </c>
      <c r="E82" s="326">
        <v>43</v>
      </c>
      <c r="F82" s="316">
        <v>327.49999999999915</v>
      </c>
      <c r="G82" s="316">
        <v>43</v>
      </c>
      <c r="H82" s="324">
        <v>327.49999999999915</v>
      </c>
      <c r="I82" s="318">
        <v>44</v>
      </c>
      <c r="J82" s="316">
        <v>326.24999999999886</v>
      </c>
      <c r="K82" s="316">
        <v>44</v>
      </c>
      <c r="L82" s="324">
        <v>326.24999999999886</v>
      </c>
      <c r="M82" s="318">
        <v>30</v>
      </c>
      <c r="N82" s="316">
        <v>350</v>
      </c>
      <c r="O82" s="316">
        <v>33</v>
      </c>
      <c r="P82" s="328">
        <v>341.74999999999898</v>
      </c>
      <c r="Q82" s="330">
        <f t="shared" si="1"/>
        <v>9.2913260099875377</v>
      </c>
    </row>
    <row r="83" spans="1:17" x14ac:dyDescent="0.25">
      <c r="A83" s="256">
        <v>977</v>
      </c>
      <c r="B83" s="16" t="s">
        <v>26</v>
      </c>
      <c r="C83" s="16">
        <v>48127</v>
      </c>
      <c r="D83" s="280">
        <v>0.1</v>
      </c>
      <c r="E83" s="326">
        <v>34</v>
      </c>
      <c r="F83" s="316">
        <v>338.99999999999864</v>
      </c>
      <c r="G83" s="316">
        <v>39</v>
      </c>
      <c r="H83" s="324">
        <v>332.25000000000051</v>
      </c>
      <c r="I83" s="318">
        <v>7</v>
      </c>
      <c r="J83" s="316">
        <v>957.50000000000023</v>
      </c>
      <c r="K83" s="316">
        <v>9</v>
      </c>
      <c r="L83" s="324">
        <v>802.50000000000057</v>
      </c>
      <c r="M83" s="318">
        <v>4</v>
      </c>
      <c r="N83" s="316">
        <v>1179.1666666666665</v>
      </c>
      <c r="O83" s="316">
        <v>5</v>
      </c>
      <c r="P83" s="328">
        <v>1112.5</v>
      </c>
      <c r="Q83" s="330">
        <f t="shared" si="1"/>
        <v>183.55100021372286</v>
      </c>
    </row>
    <row r="84" spans="1:17" x14ac:dyDescent="0.25">
      <c r="A84" s="256">
        <v>977</v>
      </c>
      <c r="B84" s="16" t="s">
        <v>27</v>
      </c>
      <c r="C84" s="16">
        <v>46715</v>
      </c>
      <c r="D84" s="280">
        <v>0.2</v>
      </c>
      <c r="E84" s="326">
        <v>32</v>
      </c>
      <c r="F84" s="316">
        <v>344.49999999999932</v>
      </c>
      <c r="G84" s="316">
        <v>23</v>
      </c>
      <c r="H84" s="324">
        <v>394.99999999999955</v>
      </c>
      <c r="I84" s="318">
        <v>42</v>
      </c>
      <c r="J84" s="316">
        <v>328.74999999999943</v>
      </c>
      <c r="K84" s="316">
        <v>42</v>
      </c>
      <c r="L84" s="324">
        <v>328.74999999999943</v>
      </c>
      <c r="M84" s="318">
        <v>32</v>
      </c>
      <c r="N84" s="316">
        <v>344.49999999999932</v>
      </c>
      <c r="O84" s="316">
        <v>22</v>
      </c>
      <c r="P84" s="328">
        <v>405</v>
      </c>
      <c r="Q84" s="330">
        <f t="shared" si="1"/>
        <v>-60.912924761689133</v>
      </c>
    </row>
    <row r="85" spans="1:17" x14ac:dyDescent="0.25">
      <c r="A85" s="256">
        <v>978</v>
      </c>
      <c r="B85" s="16" t="s">
        <v>26</v>
      </c>
      <c r="C85" s="16">
        <v>2156</v>
      </c>
      <c r="D85" s="280">
        <v>0.2</v>
      </c>
      <c r="E85" s="326">
        <v>20</v>
      </c>
      <c r="F85" s="316">
        <v>425</v>
      </c>
      <c r="G85" s="316">
        <v>35</v>
      </c>
      <c r="H85" s="324">
        <v>336.24999999999972</v>
      </c>
      <c r="I85" s="318">
        <v>6</v>
      </c>
      <c r="J85" s="316">
        <v>1035.0000000000002</v>
      </c>
      <c r="K85" s="316">
        <v>9</v>
      </c>
      <c r="L85" s="324">
        <v>802.50000000000057</v>
      </c>
      <c r="M85" s="318">
        <v>5</v>
      </c>
      <c r="N85" s="316">
        <v>1112.5</v>
      </c>
      <c r="O85" s="316">
        <v>7</v>
      </c>
      <c r="P85" s="328">
        <v>957.50000000000023</v>
      </c>
      <c r="Q85" s="330">
        <f t="shared" si="1"/>
        <v>27.925117793917352</v>
      </c>
    </row>
    <row r="86" spans="1:17" x14ac:dyDescent="0.25">
      <c r="A86" s="256">
        <v>978</v>
      </c>
      <c r="B86" s="16" t="s">
        <v>27</v>
      </c>
      <c r="C86" s="16">
        <v>46715</v>
      </c>
      <c r="D86" s="280">
        <v>0.01</v>
      </c>
      <c r="E86" s="326">
        <v>22</v>
      </c>
      <c r="F86" s="316">
        <v>404.99999999999972</v>
      </c>
      <c r="G86" s="316">
        <v>24</v>
      </c>
      <c r="H86" s="324">
        <v>384.99999999999943</v>
      </c>
      <c r="I86" s="318">
        <v>30</v>
      </c>
      <c r="J86" s="316">
        <v>350</v>
      </c>
      <c r="K86" s="316">
        <v>31</v>
      </c>
      <c r="L86" s="324">
        <v>347.24999999999966</v>
      </c>
      <c r="M86" s="318">
        <v>14</v>
      </c>
      <c r="N86" s="316">
        <v>570.00000000000023</v>
      </c>
      <c r="O86" s="316">
        <v>14</v>
      </c>
      <c r="P86" s="328">
        <v>570.00000000000023</v>
      </c>
      <c r="Q86" s="330">
        <f t="shared" si="1"/>
        <v>0.74109435145260583</v>
      </c>
    </row>
    <row r="87" spans="1:17" x14ac:dyDescent="0.25">
      <c r="A87" s="256">
        <v>2091</v>
      </c>
      <c r="B87" s="16" t="s">
        <v>26</v>
      </c>
      <c r="C87" s="16">
        <v>18401</v>
      </c>
      <c r="D87" s="280">
        <v>0.01</v>
      </c>
      <c r="E87" s="326">
        <v>26</v>
      </c>
      <c r="F87" s="316">
        <v>370.00000000000028</v>
      </c>
      <c r="G87" s="316">
        <v>18</v>
      </c>
      <c r="H87" s="324">
        <v>467.50000000000045</v>
      </c>
      <c r="I87" s="318">
        <v>25</v>
      </c>
      <c r="J87" s="316">
        <v>375</v>
      </c>
      <c r="K87" s="316">
        <v>20</v>
      </c>
      <c r="L87" s="324">
        <v>425</v>
      </c>
      <c r="M87" s="318">
        <v>23</v>
      </c>
      <c r="N87" s="316">
        <v>394.99999999999955</v>
      </c>
      <c r="O87" s="316">
        <v>18</v>
      </c>
      <c r="P87" s="328">
        <v>467.50000000000045</v>
      </c>
      <c r="Q87" s="330">
        <f t="shared" si="1"/>
        <v>-3.7575668917385507</v>
      </c>
    </row>
    <row r="88" spans="1:17" x14ac:dyDescent="0.25">
      <c r="A88" s="256">
        <v>2091</v>
      </c>
      <c r="B88" s="16" t="s">
        <v>27</v>
      </c>
      <c r="C88" s="16">
        <v>14202</v>
      </c>
      <c r="D88" s="280">
        <v>0.1</v>
      </c>
      <c r="E88" s="326">
        <v>13</v>
      </c>
      <c r="F88" s="316">
        <v>608.75000000000023</v>
      </c>
      <c r="G88" s="316">
        <v>7</v>
      </c>
      <c r="H88" s="324">
        <v>802.50000000000057</v>
      </c>
      <c r="I88" s="318">
        <v>19</v>
      </c>
      <c r="J88" s="316">
        <v>446.25000000000057</v>
      </c>
      <c r="K88" s="316">
        <v>9</v>
      </c>
      <c r="L88" s="324">
        <v>802.50000000000057</v>
      </c>
      <c r="M88" s="318">
        <v>14</v>
      </c>
      <c r="N88" s="316">
        <v>570.00000000000023</v>
      </c>
      <c r="O88" s="316">
        <v>11</v>
      </c>
      <c r="P88" s="328">
        <v>686.25000000000011</v>
      </c>
      <c r="Q88" s="330">
        <f t="shared" si="1"/>
        <v>-133.5934047889242</v>
      </c>
    </row>
    <row r="89" spans="1:17" x14ac:dyDescent="0.25">
      <c r="A89" s="256">
        <v>2092</v>
      </c>
      <c r="B89" s="16" t="s">
        <v>26</v>
      </c>
      <c r="C89" s="16">
        <v>18401</v>
      </c>
      <c r="D89" s="280">
        <v>0.1</v>
      </c>
      <c r="E89" s="326">
        <v>13</v>
      </c>
      <c r="F89" s="316">
        <v>608.75000000000023</v>
      </c>
      <c r="G89" s="316">
        <v>7</v>
      </c>
      <c r="H89" s="324">
        <v>802.50000000000057</v>
      </c>
      <c r="I89" s="318">
        <v>23</v>
      </c>
      <c r="J89" s="316">
        <v>395</v>
      </c>
      <c r="K89" s="316">
        <v>10</v>
      </c>
      <c r="L89" s="324">
        <v>725</v>
      </c>
      <c r="M89" s="318">
        <v>18</v>
      </c>
      <c r="N89" s="316">
        <v>467.50000000000045</v>
      </c>
      <c r="O89" s="316">
        <v>10</v>
      </c>
      <c r="P89" s="328">
        <v>725</v>
      </c>
      <c r="Q89" s="330">
        <f t="shared" si="1"/>
        <v>-179.91352227076712</v>
      </c>
    </row>
    <row r="90" spans="1:17" ht="15.75" thickBot="1" x14ac:dyDescent="0.3">
      <c r="A90" s="257">
        <v>2092</v>
      </c>
      <c r="B90" s="258" t="s">
        <v>27</v>
      </c>
      <c r="C90" s="258">
        <v>14202</v>
      </c>
      <c r="D90" s="281">
        <v>0.01</v>
      </c>
      <c r="E90" s="327">
        <v>21</v>
      </c>
      <c r="F90" s="322">
        <v>414.99999999999989</v>
      </c>
      <c r="G90" s="322">
        <v>10</v>
      </c>
      <c r="H90" s="325">
        <v>725</v>
      </c>
      <c r="I90" s="319">
        <v>24</v>
      </c>
      <c r="J90" s="322">
        <v>385</v>
      </c>
      <c r="K90" s="322">
        <v>14</v>
      </c>
      <c r="L90" s="325">
        <v>570.00000000000023</v>
      </c>
      <c r="M90" s="319">
        <v>22</v>
      </c>
      <c r="N90" s="322">
        <v>404.99999999999972</v>
      </c>
      <c r="O90" s="322">
        <v>20</v>
      </c>
      <c r="P90" s="329">
        <v>425</v>
      </c>
      <c r="Q90" s="331">
        <f t="shared" si="1"/>
        <v>-8.0356050612800853</v>
      </c>
    </row>
    <row r="92" spans="1:17" x14ac:dyDescent="0.25">
      <c r="A92" s="21" t="s">
        <v>1</v>
      </c>
      <c r="Q92" s="333"/>
    </row>
    <row r="93" spans="1:17" x14ac:dyDescent="0.25">
      <c r="A93" s="2" t="s">
        <v>70</v>
      </c>
    </row>
    <row r="94" spans="1:17" x14ac:dyDescent="0.25">
      <c r="A94" s="2" t="s">
        <v>74</v>
      </c>
    </row>
    <row r="95" spans="1:17" ht="18" x14ac:dyDescent="0.35">
      <c r="A95" s="2" t="s">
        <v>410</v>
      </c>
    </row>
    <row r="96" spans="1:17" x14ac:dyDescent="0.25">
      <c r="A96" s="32" t="s">
        <v>291</v>
      </c>
    </row>
    <row r="98" spans="1:18" x14ac:dyDescent="0.25">
      <c r="A98" s="21" t="s">
        <v>38</v>
      </c>
    </row>
    <row r="99" spans="1:18" x14ac:dyDescent="0.25">
      <c r="A99" s="558" t="s">
        <v>411</v>
      </c>
      <c r="B99" s="558"/>
      <c r="C99" s="558"/>
      <c r="D99" s="558"/>
      <c r="E99" s="558"/>
      <c r="F99" s="558"/>
      <c r="G99" s="558"/>
      <c r="H99" s="558"/>
      <c r="I99" s="558"/>
      <c r="J99" s="558"/>
      <c r="K99" s="558"/>
      <c r="L99" s="558"/>
      <c r="M99" s="558"/>
      <c r="N99" s="558"/>
      <c r="O99" s="558"/>
      <c r="P99" s="558"/>
      <c r="Q99" s="558"/>
      <c r="R99" s="558"/>
    </row>
    <row r="100" spans="1:18" x14ac:dyDescent="0.25">
      <c r="A100" s="125" t="s">
        <v>104</v>
      </c>
    </row>
    <row r="101" spans="1:18" x14ac:dyDescent="0.25">
      <c r="A101" s="125" t="s">
        <v>483</v>
      </c>
    </row>
    <row r="102" spans="1:18" x14ac:dyDescent="0.25">
      <c r="A102" s="2" t="s">
        <v>75</v>
      </c>
    </row>
    <row r="103" spans="1:18" x14ac:dyDescent="0.25">
      <c r="A103" s="2" t="s">
        <v>277</v>
      </c>
    </row>
    <row r="106" spans="1:18" x14ac:dyDescent="0.25">
      <c r="O106" s="21"/>
      <c r="P106" s="21"/>
      <c r="Q106" s="22"/>
      <c r="R106" s="22"/>
    </row>
    <row r="107" spans="1:18" x14ac:dyDescent="0.25">
      <c r="O107" s="2"/>
      <c r="P107" s="2"/>
      <c r="Q107" s="22"/>
      <c r="R107" s="22"/>
    </row>
    <row r="108" spans="1:18" x14ac:dyDescent="0.25">
      <c r="O108" s="2"/>
      <c r="P108" s="2"/>
      <c r="Q108" s="22"/>
      <c r="R108" s="22"/>
    </row>
    <row r="109" spans="1:18" x14ac:dyDescent="0.25">
      <c r="O109" s="2"/>
      <c r="P109" s="2"/>
      <c r="Q109" s="22"/>
      <c r="R109" s="22"/>
    </row>
    <row r="110" spans="1:18" x14ac:dyDescent="0.25">
      <c r="O110" s="2"/>
      <c r="P110" s="2"/>
      <c r="Q110" s="22"/>
      <c r="R110" s="22"/>
    </row>
    <row r="111" spans="1:18" x14ac:dyDescent="0.25">
      <c r="Q111" s="22"/>
      <c r="R111" s="22"/>
    </row>
    <row r="112" spans="1:18" x14ac:dyDescent="0.25">
      <c r="O112" s="21"/>
      <c r="P112" s="21"/>
      <c r="Q112" s="22"/>
      <c r="R112" s="22"/>
    </row>
    <row r="113" spans="15:18" x14ac:dyDescent="0.25">
      <c r="O113" s="2"/>
      <c r="P113" s="2"/>
      <c r="Q113" s="22"/>
      <c r="R113" s="22"/>
    </row>
    <row r="114" spans="15:18" x14ac:dyDescent="0.25">
      <c r="O114" s="125"/>
      <c r="P114" s="125"/>
      <c r="Q114" s="267"/>
      <c r="R114" s="267"/>
    </row>
    <row r="115" spans="15:18" x14ac:dyDescent="0.25">
      <c r="O115" s="125"/>
      <c r="P115" s="125"/>
      <c r="Q115" s="267"/>
      <c r="R115" s="267"/>
    </row>
    <row r="116" spans="15:18" x14ac:dyDescent="0.25">
      <c r="O116" s="2"/>
      <c r="P116" s="2"/>
      <c r="Q116" s="22"/>
      <c r="R116" s="22"/>
    </row>
    <row r="117" spans="15:18" x14ac:dyDescent="0.25">
      <c r="O117" s="2"/>
      <c r="P117" s="2"/>
      <c r="Q117" s="22"/>
      <c r="R117" s="22"/>
    </row>
    <row r="118" spans="15:18" x14ac:dyDescent="0.25">
      <c r="O118" s="2"/>
      <c r="P118" s="2"/>
      <c r="Q118" s="22"/>
      <c r="R118" s="22"/>
    </row>
    <row r="119" spans="15:18" x14ac:dyDescent="0.25">
      <c r="O119" s="2"/>
      <c r="P119" s="2"/>
      <c r="Q119" s="22"/>
      <c r="R119" s="22"/>
    </row>
    <row r="120" spans="15:18" x14ac:dyDescent="0.25">
      <c r="O120" s="2"/>
      <c r="P120" s="2"/>
      <c r="Q120" s="22"/>
      <c r="R120" s="22"/>
    </row>
    <row r="121" spans="15:18" x14ac:dyDescent="0.25">
      <c r="O121" s="2"/>
      <c r="P121" s="2"/>
      <c r="Q121" s="22"/>
      <c r="R121" s="22"/>
    </row>
    <row r="122" spans="15:18" x14ac:dyDescent="0.25">
      <c r="O122" s="32"/>
      <c r="P122" s="32"/>
      <c r="Q122" s="22"/>
      <c r="R122" s="22"/>
    </row>
  </sheetData>
  <mergeCells count="13">
    <mergeCell ref="A1:Q1"/>
    <mergeCell ref="A99:R99"/>
    <mergeCell ref="A3:A4"/>
    <mergeCell ref="B3:B4"/>
    <mergeCell ref="C3:C4"/>
    <mergeCell ref="E3:F3"/>
    <mergeCell ref="G3:H3"/>
    <mergeCell ref="I3:J3"/>
    <mergeCell ref="K3:L3"/>
    <mergeCell ref="M3:N3"/>
    <mergeCell ref="O3:P3"/>
    <mergeCell ref="D3:D4"/>
    <mergeCell ref="Q3:Q4"/>
  </mergeCells>
  <hyperlinks>
    <hyperlink ref="A96"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59999389629810485"/>
  </sheetPr>
  <dimension ref="A1:D59"/>
  <sheetViews>
    <sheetView workbookViewId="0">
      <selection activeCell="F33" sqref="F33"/>
    </sheetView>
  </sheetViews>
  <sheetFormatPr defaultRowHeight="15" x14ac:dyDescent="0.25"/>
  <cols>
    <col min="1" max="1" width="20.140625" bestFit="1" customWidth="1"/>
    <col min="2" max="3" width="15.7109375" customWidth="1"/>
    <col min="4" max="4" width="14.140625" customWidth="1"/>
  </cols>
  <sheetData>
    <row r="1" spans="1:4" x14ac:dyDescent="0.25">
      <c r="A1" s="478" t="s">
        <v>233</v>
      </c>
      <c r="B1" s="478"/>
    </row>
    <row r="2" spans="1:4" s="127" customFormat="1" x14ac:dyDescent="0.25">
      <c r="A2" s="233"/>
      <c r="B2" s="233"/>
    </row>
    <row r="3" spans="1:4" ht="30" customHeight="1" x14ac:dyDescent="0.25">
      <c r="A3" s="15" t="s">
        <v>12</v>
      </c>
      <c r="B3" s="15" t="s">
        <v>89</v>
      </c>
    </row>
    <row r="4" spans="1:4" x14ac:dyDescent="0.25">
      <c r="A4" s="8" t="s">
        <v>13</v>
      </c>
      <c r="B4" s="7">
        <v>1872</v>
      </c>
    </row>
    <row r="5" spans="1:4" x14ac:dyDescent="0.25">
      <c r="A5" s="8" t="s">
        <v>14</v>
      </c>
      <c r="B5" s="7">
        <v>7377</v>
      </c>
    </row>
    <row r="6" spans="1:4" x14ac:dyDescent="0.25">
      <c r="A6" s="8" t="s">
        <v>15</v>
      </c>
      <c r="B6" s="7">
        <v>337459</v>
      </c>
    </row>
    <row r="7" spans="1:4" x14ac:dyDescent="0.25">
      <c r="A7" s="8" t="s">
        <v>16</v>
      </c>
      <c r="B7" s="7">
        <v>43600</v>
      </c>
    </row>
    <row r="8" spans="1:4" x14ac:dyDescent="0.25">
      <c r="A8" s="38"/>
      <c r="B8" s="39"/>
    </row>
    <row r="9" spans="1:4" x14ac:dyDescent="0.25">
      <c r="A9" s="38" t="s">
        <v>1</v>
      </c>
      <c r="B9" s="39"/>
    </row>
    <row r="10" spans="1:4" x14ac:dyDescent="0.25">
      <c r="A10" s="2" t="s">
        <v>90</v>
      </c>
      <c r="B10" s="2"/>
    </row>
    <row r="11" spans="1:4" x14ac:dyDescent="0.25">
      <c r="A11" s="37" t="s">
        <v>91</v>
      </c>
      <c r="B11" s="37"/>
    </row>
    <row r="14" spans="1:4" x14ac:dyDescent="0.25">
      <c r="A14" s="478" t="s">
        <v>237</v>
      </c>
      <c r="B14" s="478"/>
      <c r="C14" s="478"/>
    </row>
    <row r="15" spans="1:4" s="127" customFormat="1" x14ac:dyDescent="0.25"/>
    <row r="16" spans="1:4" ht="30" x14ac:dyDescent="0.25">
      <c r="A16" s="110" t="s">
        <v>12</v>
      </c>
      <c r="B16" s="110" t="s">
        <v>63</v>
      </c>
      <c r="C16" s="110" t="s">
        <v>17</v>
      </c>
      <c r="D16" s="127"/>
    </row>
    <row r="17" spans="1:4" x14ac:dyDescent="0.25">
      <c r="A17" s="293" t="s">
        <v>49</v>
      </c>
      <c r="B17" s="294">
        <v>2714</v>
      </c>
      <c r="C17" s="295">
        <f>B17*'Inflation Adjustment - Values'!B4</f>
        <v>4697.1197999999995</v>
      </c>
      <c r="D17" s="127"/>
    </row>
    <row r="18" spans="1:4" x14ac:dyDescent="0.25">
      <c r="A18" s="125" t="s">
        <v>64</v>
      </c>
      <c r="B18" s="127"/>
      <c r="C18" s="127"/>
      <c r="D18" s="127"/>
    </row>
    <row r="19" spans="1:4" x14ac:dyDescent="0.25">
      <c r="A19" s="125"/>
      <c r="B19" s="127"/>
      <c r="C19" s="127"/>
      <c r="D19" s="127"/>
    </row>
    <row r="20" spans="1:4" x14ac:dyDescent="0.25">
      <c r="A20" s="296" t="s">
        <v>1</v>
      </c>
      <c r="B20" s="127"/>
      <c r="C20" s="127"/>
      <c r="D20" s="127"/>
    </row>
    <row r="21" spans="1:4" x14ac:dyDescent="0.25">
      <c r="A21" s="125" t="s">
        <v>271</v>
      </c>
      <c r="B21" s="127"/>
      <c r="C21" s="127"/>
      <c r="D21" s="127"/>
    </row>
    <row r="22" spans="1:4" x14ac:dyDescent="0.25">
      <c r="A22" s="297" t="s">
        <v>234</v>
      </c>
      <c r="B22" s="127"/>
      <c r="C22" s="127"/>
      <c r="D22" s="127"/>
    </row>
    <row r="23" spans="1:4" x14ac:dyDescent="0.25">
      <c r="A23" s="127"/>
      <c r="B23" s="127"/>
      <c r="C23" s="127"/>
      <c r="D23" s="127"/>
    </row>
    <row r="24" spans="1:4" x14ac:dyDescent="0.25">
      <c r="A24" s="127"/>
      <c r="B24" s="127"/>
      <c r="C24" s="127"/>
      <c r="D24" s="127"/>
    </row>
    <row r="26" spans="1:4" ht="18" x14ac:dyDescent="0.35">
      <c r="A26" s="478" t="s">
        <v>253</v>
      </c>
      <c r="B26" s="478"/>
      <c r="C26" s="478"/>
    </row>
    <row r="27" spans="1:4" x14ac:dyDescent="0.25">
      <c r="A27" s="127"/>
      <c r="B27" s="127"/>
      <c r="C27" s="127"/>
    </row>
    <row r="28" spans="1:4" ht="30" x14ac:dyDescent="0.25">
      <c r="A28" s="110" t="s">
        <v>0</v>
      </c>
      <c r="B28" s="110" t="s">
        <v>274</v>
      </c>
      <c r="C28" s="110" t="s">
        <v>89</v>
      </c>
    </row>
    <row r="29" spans="1:4" x14ac:dyDescent="0.25">
      <c r="A29" s="25">
        <v>2017</v>
      </c>
      <c r="B29" s="298">
        <v>0</v>
      </c>
      <c r="C29" s="298">
        <f>B29*'Inflation Adjustment - Values'!$B$19</f>
        <v>0</v>
      </c>
    </row>
    <row r="30" spans="1:4" x14ac:dyDescent="0.25">
      <c r="A30" s="25">
        <v>2018</v>
      </c>
      <c r="B30" s="298">
        <v>0</v>
      </c>
      <c r="C30" s="298">
        <f>B30*'Inflation Adjustment - Values'!$B$19</f>
        <v>0</v>
      </c>
    </row>
    <row r="31" spans="1:4" x14ac:dyDescent="0.25">
      <c r="A31" s="25">
        <v>2019</v>
      </c>
      <c r="B31" s="298">
        <v>0</v>
      </c>
      <c r="C31" s="298">
        <f>B31*'Inflation Adjustment - Values'!$B$19</f>
        <v>0</v>
      </c>
    </row>
    <row r="32" spans="1:4" x14ac:dyDescent="0.25">
      <c r="A32" s="25">
        <v>2020</v>
      </c>
      <c r="B32" s="298">
        <v>0</v>
      </c>
      <c r="C32" s="298">
        <f>B32*'Inflation Adjustment - Values'!$B$19</f>
        <v>0</v>
      </c>
    </row>
    <row r="33" spans="1:3" x14ac:dyDescent="0.25">
      <c r="A33" s="25">
        <v>2021</v>
      </c>
      <c r="B33" s="298">
        <v>0</v>
      </c>
      <c r="C33" s="298">
        <f>B33*'Inflation Adjustment - Values'!$B$19</f>
        <v>0</v>
      </c>
    </row>
    <row r="34" spans="1:3" x14ac:dyDescent="0.25">
      <c r="A34" s="25">
        <v>2022</v>
      </c>
      <c r="B34" s="298">
        <v>20</v>
      </c>
      <c r="C34" s="298">
        <f>B34*'Inflation Adjustment - Values'!$B$19</f>
        <v>20.264000000000003</v>
      </c>
    </row>
    <row r="35" spans="1:3" x14ac:dyDescent="0.25">
      <c r="A35" s="25">
        <v>2023</v>
      </c>
      <c r="B35" s="298">
        <v>20.75</v>
      </c>
      <c r="C35" s="298">
        <f>B35*'Inflation Adjustment - Values'!$B$19</f>
        <v>21.023900000000001</v>
      </c>
    </row>
    <row r="36" spans="1:3" x14ac:dyDescent="0.25">
      <c r="A36" s="25">
        <v>2024</v>
      </c>
      <c r="B36" s="298">
        <v>21.5</v>
      </c>
      <c r="C36" s="298">
        <f>B36*'Inflation Adjustment - Values'!$B$19</f>
        <v>21.783800000000003</v>
      </c>
    </row>
    <row r="37" spans="1:3" x14ac:dyDescent="0.25">
      <c r="A37" s="25">
        <v>2025</v>
      </c>
      <c r="B37" s="298">
        <v>22.25</v>
      </c>
      <c r="C37" s="298">
        <f>B37*'Inflation Adjustment - Values'!$B$19</f>
        <v>22.543700000000001</v>
      </c>
    </row>
    <row r="38" spans="1:3" x14ac:dyDescent="0.25">
      <c r="A38" s="25">
        <v>2026</v>
      </c>
      <c r="B38" s="298">
        <v>23</v>
      </c>
      <c r="C38" s="298">
        <f>B38*'Inflation Adjustment - Values'!$B$19</f>
        <v>23.303600000000003</v>
      </c>
    </row>
    <row r="39" spans="1:3" x14ac:dyDescent="0.25">
      <c r="A39" s="25">
        <v>2027</v>
      </c>
      <c r="B39" s="298">
        <v>23.75</v>
      </c>
      <c r="C39" s="298">
        <f>B39*'Inflation Adjustment - Values'!$B$19</f>
        <v>24.063500000000001</v>
      </c>
    </row>
    <row r="40" spans="1:3" x14ac:dyDescent="0.25">
      <c r="A40" s="25">
        <v>2028</v>
      </c>
      <c r="B40" s="298">
        <v>24.5</v>
      </c>
      <c r="C40" s="298">
        <f>B40*'Inflation Adjustment - Values'!$B$19</f>
        <v>24.823400000000003</v>
      </c>
    </row>
    <row r="41" spans="1:3" x14ac:dyDescent="0.25">
      <c r="A41" s="25">
        <v>2029</v>
      </c>
      <c r="B41" s="298">
        <v>25.25</v>
      </c>
      <c r="C41" s="298">
        <f>B41*'Inflation Adjustment - Values'!$B$19</f>
        <v>25.583300000000001</v>
      </c>
    </row>
    <row r="42" spans="1:3" x14ac:dyDescent="0.25">
      <c r="A42" s="25">
        <v>2030</v>
      </c>
      <c r="B42" s="298">
        <v>26</v>
      </c>
      <c r="C42" s="298">
        <f>B42*'Inflation Adjustment - Values'!$B$19</f>
        <v>26.343200000000003</v>
      </c>
    </row>
    <row r="43" spans="1:3" x14ac:dyDescent="0.25">
      <c r="A43" s="25">
        <v>2031</v>
      </c>
      <c r="B43" s="298">
        <v>29</v>
      </c>
      <c r="C43" s="298">
        <f>B43*'Inflation Adjustment - Values'!$B$19</f>
        <v>29.382800000000003</v>
      </c>
    </row>
    <row r="44" spans="1:3" x14ac:dyDescent="0.25">
      <c r="A44" s="25">
        <v>2032</v>
      </c>
      <c r="B44" s="298">
        <v>32</v>
      </c>
      <c r="C44" s="298">
        <f>B44*'Inflation Adjustment - Values'!$B$19</f>
        <v>32.422400000000003</v>
      </c>
    </row>
    <row r="45" spans="1:3" x14ac:dyDescent="0.25">
      <c r="A45" s="25">
        <v>2033</v>
      </c>
      <c r="B45" s="298">
        <v>35</v>
      </c>
      <c r="C45" s="298">
        <f>B45*'Inflation Adjustment - Values'!$B$19</f>
        <v>35.462000000000003</v>
      </c>
    </row>
    <row r="46" spans="1:3" x14ac:dyDescent="0.25">
      <c r="A46" s="25">
        <v>2034</v>
      </c>
      <c r="B46" s="298">
        <v>38</v>
      </c>
      <c r="C46" s="298">
        <f>B46*'Inflation Adjustment - Values'!$B$19</f>
        <v>38.501600000000003</v>
      </c>
    </row>
    <row r="47" spans="1:3" x14ac:dyDescent="0.25">
      <c r="A47" s="25">
        <v>2035</v>
      </c>
      <c r="B47" s="298">
        <v>41</v>
      </c>
      <c r="C47" s="298">
        <f>B47*'Inflation Adjustment - Values'!$B$19</f>
        <v>41.541200000000003</v>
      </c>
    </row>
    <row r="48" spans="1:3" x14ac:dyDescent="0.25">
      <c r="A48" s="25">
        <v>2036</v>
      </c>
      <c r="B48" s="298">
        <v>44</v>
      </c>
      <c r="C48" s="298">
        <f>B48*'Inflation Adjustment - Values'!$B$19</f>
        <v>44.580800000000004</v>
      </c>
    </row>
    <row r="49" spans="1:3" x14ac:dyDescent="0.25">
      <c r="A49" s="25">
        <v>2037</v>
      </c>
      <c r="B49" s="298">
        <v>47</v>
      </c>
      <c r="C49" s="298">
        <f>B49*'Inflation Adjustment - Values'!$B$19</f>
        <v>47.620400000000004</v>
      </c>
    </row>
    <row r="50" spans="1:3" x14ac:dyDescent="0.25">
      <c r="A50" s="25">
        <v>2038</v>
      </c>
      <c r="B50" s="298">
        <v>50</v>
      </c>
      <c r="C50" s="298">
        <f>B50*'Inflation Adjustment - Values'!$B$19</f>
        <v>50.660000000000004</v>
      </c>
    </row>
    <row r="51" spans="1:3" x14ac:dyDescent="0.25">
      <c r="A51" s="25">
        <v>2039</v>
      </c>
      <c r="B51" s="298">
        <v>53</v>
      </c>
      <c r="C51" s="298">
        <f>B51*'Inflation Adjustment - Values'!$B$19</f>
        <v>53.699600000000004</v>
      </c>
    </row>
    <row r="52" spans="1:3" x14ac:dyDescent="0.25">
      <c r="A52" s="25">
        <v>2040</v>
      </c>
      <c r="B52" s="298">
        <v>56</v>
      </c>
      <c r="C52" s="298">
        <f>B52*'Inflation Adjustment - Values'!$B$19</f>
        <v>56.739200000000004</v>
      </c>
    </row>
    <row r="53" spans="1:3" x14ac:dyDescent="0.25">
      <c r="A53" s="25">
        <v>2041</v>
      </c>
      <c r="B53" s="298">
        <v>58.5</v>
      </c>
      <c r="C53" s="298">
        <f>B53*'Inflation Adjustment - Values'!$B$19</f>
        <v>59.272200000000005</v>
      </c>
    </row>
    <row r="54" spans="1:3" x14ac:dyDescent="0.25">
      <c r="A54" s="25">
        <v>2042</v>
      </c>
      <c r="B54" s="298">
        <v>61</v>
      </c>
      <c r="C54" s="298">
        <f>B54*'Inflation Adjustment - Values'!$B$19</f>
        <v>61.805200000000006</v>
      </c>
    </row>
    <row r="55" spans="1:3" x14ac:dyDescent="0.25">
      <c r="A55" s="2" t="s">
        <v>275</v>
      </c>
    </row>
    <row r="57" spans="1:3" x14ac:dyDescent="0.25">
      <c r="A57" s="296" t="s">
        <v>1</v>
      </c>
    </row>
    <row r="58" spans="1:3" x14ac:dyDescent="0.25">
      <c r="A58" s="125" t="s">
        <v>272</v>
      </c>
    </row>
    <row r="59" spans="1:3" x14ac:dyDescent="0.25">
      <c r="A59" s="32" t="s">
        <v>273</v>
      </c>
    </row>
  </sheetData>
  <mergeCells count="3">
    <mergeCell ref="A1:B1"/>
    <mergeCell ref="A14:C14"/>
    <mergeCell ref="A26:C26"/>
  </mergeCells>
  <hyperlinks>
    <hyperlink ref="A11" r:id="rId1"/>
    <hyperlink ref="A22" r:id="rId2"/>
    <hyperlink ref="A59" r:id="rId3"/>
  </hyperlinks>
  <pageMargins left="0.7" right="0.7" top="0.75" bottom="0.75" header="0.3" footer="0.3"/>
  <pageSetup orientation="portrait" verticalDpi="1200"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499984740745262"/>
  </sheetPr>
  <dimension ref="A1:F38"/>
  <sheetViews>
    <sheetView workbookViewId="0">
      <selection activeCell="H38" sqref="H38"/>
    </sheetView>
  </sheetViews>
  <sheetFormatPr defaultRowHeight="15" x14ac:dyDescent="0.25"/>
  <cols>
    <col min="1" max="1" width="15.28515625" customWidth="1"/>
    <col min="2" max="4" width="14.28515625" customWidth="1"/>
    <col min="5" max="5" width="11.5703125" bestFit="1" customWidth="1"/>
  </cols>
  <sheetData>
    <row r="1" spans="1:6" x14ac:dyDescent="0.25">
      <c r="A1" s="478" t="s">
        <v>301</v>
      </c>
      <c r="B1" s="478"/>
      <c r="C1" s="478"/>
      <c r="D1" s="478"/>
    </row>
    <row r="3" spans="1:6" ht="67.5" customHeight="1" x14ac:dyDescent="0.25">
      <c r="A3" s="20" t="s">
        <v>0</v>
      </c>
      <c r="B3" s="110" t="s">
        <v>7</v>
      </c>
      <c r="C3" s="110" t="s">
        <v>265</v>
      </c>
      <c r="D3" s="110" t="s">
        <v>375</v>
      </c>
    </row>
    <row r="4" spans="1:6" x14ac:dyDescent="0.25">
      <c r="A4" s="89">
        <v>2016</v>
      </c>
      <c r="B4" s="29" t="s">
        <v>109</v>
      </c>
      <c r="C4" s="90">
        <f>SUM('Fuel Savings - Calc'!Q6:Q91)*1.015</f>
        <v>911293.18769487378</v>
      </c>
      <c r="D4" s="91">
        <v>0</v>
      </c>
    </row>
    <row r="5" spans="1:6" x14ac:dyDescent="0.25">
      <c r="A5" s="89">
        <v>2017</v>
      </c>
      <c r="B5" s="29" t="s">
        <v>109</v>
      </c>
      <c r="C5" s="90">
        <f>C4*1.015</f>
        <v>924962.58551029675</v>
      </c>
      <c r="D5" s="91">
        <v>0</v>
      </c>
    </row>
    <row r="6" spans="1:6" x14ac:dyDescent="0.25">
      <c r="A6" s="89">
        <v>2018</v>
      </c>
      <c r="B6" s="29" t="s">
        <v>109</v>
      </c>
      <c r="C6" s="90">
        <f t="shared" ref="C6:C30" si="0">C5*1.015</f>
        <v>938837.0242929511</v>
      </c>
      <c r="D6" s="91">
        <v>0</v>
      </c>
    </row>
    <row r="7" spans="1:6" x14ac:dyDescent="0.25">
      <c r="A7" s="89">
        <v>2019</v>
      </c>
      <c r="B7" s="29" t="s">
        <v>109</v>
      </c>
      <c r="C7" s="90">
        <f t="shared" si="0"/>
        <v>952919.57965734531</v>
      </c>
      <c r="D7" s="91">
        <v>0</v>
      </c>
    </row>
    <row r="8" spans="1:6" x14ac:dyDescent="0.25">
      <c r="A8" s="29" t="s">
        <v>105</v>
      </c>
      <c r="B8" s="29" t="s">
        <v>110</v>
      </c>
      <c r="C8" s="90">
        <f t="shared" si="0"/>
        <v>967213.37335220538</v>
      </c>
      <c r="D8" s="91">
        <v>0</v>
      </c>
    </row>
    <row r="9" spans="1:6" x14ac:dyDescent="0.25">
      <c r="A9" s="89">
        <v>2021</v>
      </c>
      <c r="B9" s="29" t="s">
        <v>110</v>
      </c>
      <c r="C9" s="90">
        <f t="shared" si="0"/>
        <v>981721.57395248837</v>
      </c>
      <c r="D9" s="91">
        <v>0</v>
      </c>
    </row>
    <row r="10" spans="1:6" x14ac:dyDescent="0.25">
      <c r="A10" s="29" t="s">
        <v>106</v>
      </c>
      <c r="B10" s="29" t="s">
        <v>110</v>
      </c>
      <c r="C10" s="90">
        <f t="shared" si="0"/>
        <v>996447.39756177564</v>
      </c>
      <c r="D10" s="91">
        <v>0</v>
      </c>
    </row>
    <row r="11" spans="1:6" x14ac:dyDescent="0.25">
      <c r="A11" s="89">
        <v>2023</v>
      </c>
      <c r="B11" s="89">
        <v>1</v>
      </c>
      <c r="C11" s="90">
        <f t="shared" si="0"/>
        <v>1011394.1085252021</v>
      </c>
      <c r="D11" s="285">
        <f>C11*'Fuel Savings - Values'!$B$4</f>
        <v>2275636.7441817047</v>
      </c>
      <c r="E11" s="286"/>
      <c r="F11" s="287"/>
    </row>
    <row r="12" spans="1:6" x14ac:dyDescent="0.25">
      <c r="A12" s="89">
        <v>2024</v>
      </c>
      <c r="B12" s="89">
        <v>2</v>
      </c>
      <c r="C12" s="90">
        <f t="shared" si="0"/>
        <v>1026565.0201530801</v>
      </c>
      <c r="D12" s="285">
        <f>C12*'Fuel Savings - Values'!$B$4</f>
        <v>2309771.29534443</v>
      </c>
      <c r="E12" s="286"/>
      <c r="F12" s="287"/>
    </row>
    <row r="13" spans="1:6" x14ac:dyDescent="0.25">
      <c r="A13" s="89">
        <v>2025</v>
      </c>
      <c r="B13" s="89">
        <v>3</v>
      </c>
      <c r="C13" s="90">
        <f t="shared" si="0"/>
        <v>1041963.4954553762</v>
      </c>
      <c r="D13" s="285">
        <f>C13*'Fuel Savings - Values'!$B$4</f>
        <v>2344417.8647745964</v>
      </c>
      <c r="E13" s="286"/>
      <c r="F13" s="287"/>
    </row>
    <row r="14" spans="1:6" x14ac:dyDescent="0.25">
      <c r="A14" s="89">
        <v>2026</v>
      </c>
      <c r="B14" s="89">
        <v>4</v>
      </c>
      <c r="C14" s="90">
        <f t="shared" si="0"/>
        <v>1057592.9478872067</v>
      </c>
      <c r="D14" s="285">
        <f>C14*'Fuel Savings - Values'!$B$4</f>
        <v>2379584.132746215</v>
      </c>
      <c r="E14" s="286"/>
      <c r="F14" s="287"/>
    </row>
    <row r="15" spans="1:6" x14ac:dyDescent="0.25">
      <c r="A15" s="89">
        <v>2027</v>
      </c>
      <c r="B15" s="89">
        <v>5</v>
      </c>
      <c r="C15" s="90">
        <f t="shared" si="0"/>
        <v>1073456.8421055146</v>
      </c>
      <c r="D15" s="285">
        <f>C15*'Fuel Savings - Values'!$B$4</f>
        <v>2415277.894737408</v>
      </c>
      <c r="E15" s="286"/>
      <c r="F15" s="287"/>
    </row>
    <row r="16" spans="1:6" x14ac:dyDescent="0.25">
      <c r="A16" s="89">
        <v>2028</v>
      </c>
      <c r="B16" s="89">
        <v>6</v>
      </c>
      <c r="C16" s="90">
        <f t="shared" si="0"/>
        <v>1089558.6947370972</v>
      </c>
      <c r="D16" s="285">
        <f>C16*'Fuel Savings - Values'!$B$4</f>
        <v>2451507.0631584688</v>
      </c>
      <c r="E16" s="286"/>
      <c r="F16" s="287"/>
    </row>
    <row r="17" spans="1:6" x14ac:dyDescent="0.25">
      <c r="A17" s="89">
        <v>2029</v>
      </c>
      <c r="B17" s="89">
        <v>7</v>
      </c>
      <c r="C17" s="90">
        <f t="shared" si="0"/>
        <v>1105902.0751581537</v>
      </c>
      <c r="D17" s="285">
        <f>C17*'Fuel Savings - Values'!$B$4</f>
        <v>2488279.6691058455</v>
      </c>
      <c r="E17" s="286"/>
      <c r="F17" s="287"/>
    </row>
    <row r="18" spans="1:6" x14ac:dyDescent="0.25">
      <c r="A18" s="89">
        <v>2030</v>
      </c>
      <c r="B18" s="89">
        <v>8</v>
      </c>
      <c r="C18" s="90">
        <f t="shared" si="0"/>
        <v>1122490.606285526</v>
      </c>
      <c r="D18" s="285">
        <f>C18*'Fuel Savings - Values'!$B$4</f>
        <v>2525603.8641424333</v>
      </c>
      <c r="E18" s="286"/>
      <c r="F18" s="287"/>
    </row>
    <row r="19" spans="1:6" x14ac:dyDescent="0.25">
      <c r="A19" s="89">
        <v>2031</v>
      </c>
      <c r="B19" s="89">
        <v>9</v>
      </c>
      <c r="C19" s="90">
        <f t="shared" si="0"/>
        <v>1139327.9653798088</v>
      </c>
      <c r="D19" s="285">
        <f>C19*'Fuel Savings - Values'!$B$4</f>
        <v>2563487.9221045696</v>
      </c>
      <c r="E19" s="286"/>
      <c r="F19" s="287"/>
    </row>
    <row r="20" spans="1:6" x14ac:dyDescent="0.25">
      <c r="A20" s="89">
        <v>2032</v>
      </c>
      <c r="B20" s="89">
        <v>10</v>
      </c>
      <c r="C20" s="90">
        <f t="shared" si="0"/>
        <v>1156417.8848605058</v>
      </c>
      <c r="D20" s="285">
        <f>C20*'Fuel Savings - Values'!$B$4</f>
        <v>2601940.2409361382</v>
      </c>
      <c r="E20" s="286"/>
      <c r="F20" s="287"/>
    </row>
    <row r="21" spans="1:6" x14ac:dyDescent="0.25">
      <c r="A21" s="89">
        <v>2033</v>
      </c>
      <c r="B21" s="89">
        <v>11</v>
      </c>
      <c r="C21" s="90">
        <f t="shared" si="0"/>
        <v>1173764.1531334133</v>
      </c>
      <c r="D21" s="285">
        <f>C21*'Fuel Savings - Values'!$B$4</f>
        <v>2640969.3445501798</v>
      </c>
      <c r="E21" s="286"/>
      <c r="F21" s="287"/>
    </row>
    <row r="22" spans="1:6" x14ac:dyDescent="0.25">
      <c r="A22" s="89">
        <v>2034</v>
      </c>
      <c r="B22" s="89">
        <v>12</v>
      </c>
      <c r="C22" s="90">
        <f t="shared" si="0"/>
        <v>1191370.6154304144</v>
      </c>
      <c r="D22" s="285">
        <f>C22*'Fuel Savings - Values'!$B$4</f>
        <v>2680583.8847184326</v>
      </c>
      <c r="E22" s="286"/>
      <c r="F22" s="287"/>
    </row>
    <row r="23" spans="1:6" x14ac:dyDescent="0.25">
      <c r="A23" s="89">
        <v>2035</v>
      </c>
      <c r="B23" s="89">
        <v>13</v>
      </c>
      <c r="C23" s="90">
        <f t="shared" si="0"/>
        <v>1209241.1746618706</v>
      </c>
      <c r="D23" s="285">
        <f>C23*'Fuel Savings - Values'!$B$4</f>
        <v>2720792.6429892089</v>
      </c>
      <c r="E23" s="286"/>
      <c r="F23" s="287"/>
    </row>
    <row r="24" spans="1:6" x14ac:dyDescent="0.25">
      <c r="A24" s="89">
        <v>2036</v>
      </c>
      <c r="B24" s="89">
        <v>14</v>
      </c>
      <c r="C24" s="90">
        <f t="shared" si="0"/>
        <v>1227379.7922817986</v>
      </c>
      <c r="D24" s="285">
        <f>C24*'Fuel Savings - Values'!$B$4</f>
        <v>2761604.5326340469</v>
      </c>
      <c r="E24" s="286"/>
      <c r="F24" s="287"/>
    </row>
    <row r="25" spans="1:6" x14ac:dyDescent="0.25">
      <c r="A25" s="89">
        <v>2037</v>
      </c>
      <c r="B25" s="89">
        <v>15</v>
      </c>
      <c r="C25" s="90">
        <f t="shared" si="0"/>
        <v>1245790.4891660253</v>
      </c>
      <c r="D25" s="285">
        <f>C25*'Fuel Savings - Values'!$B$4</f>
        <v>2803028.6006235569</v>
      </c>
      <c r="E25" s="286"/>
      <c r="F25" s="287"/>
    </row>
    <row r="26" spans="1:6" x14ac:dyDescent="0.25">
      <c r="A26" s="89">
        <v>2038</v>
      </c>
      <c r="B26" s="89">
        <v>16</v>
      </c>
      <c r="C26" s="90">
        <f t="shared" si="0"/>
        <v>1264477.3465035155</v>
      </c>
      <c r="D26" s="285">
        <f>C26*'Fuel Savings - Values'!$B$4</f>
        <v>2845074.0296329097</v>
      </c>
      <c r="E26" s="286"/>
      <c r="F26" s="287"/>
    </row>
    <row r="27" spans="1:6" x14ac:dyDescent="0.25">
      <c r="A27" s="89">
        <v>2039</v>
      </c>
      <c r="B27" s="89">
        <v>17</v>
      </c>
      <c r="C27" s="90">
        <f t="shared" si="0"/>
        <v>1283444.506701068</v>
      </c>
      <c r="D27" s="285">
        <f>C27*'Fuel Savings - Values'!$B$4</f>
        <v>2887750.1400774028</v>
      </c>
      <c r="E27" s="286"/>
      <c r="F27" s="287"/>
    </row>
    <row r="28" spans="1:6" x14ac:dyDescent="0.25">
      <c r="A28" s="89">
        <v>2040</v>
      </c>
      <c r="B28" s="89">
        <v>18</v>
      </c>
      <c r="C28" s="90">
        <f t="shared" si="0"/>
        <v>1302696.174301584</v>
      </c>
      <c r="D28" s="285">
        <f>C28*'Fuel Savings - Values'!$B$4</f>
        <v>2931066.3921785639</v>
      </c>
      <c r="E28" s="286"/>
      <c r="F28" s="287"/>
    </row>
    <row r="29" spans="1:6" x14ac:dyDescent="0.25">
      <c r="A29" s="89">
        <v>2041</v>
      </c>
      <c r="B29" s="89">
        <v>19</v>
      </c>
      <c r="C29" s="90">
        <f t="shared" si="0"/>
        <v>1322236.6169161077</v>
      </c>
      <c r="D29" s="285">
        <f>C29*'Fuel Savings - Values'!$B$4</f>
        <v>2975032.3880612422</v>
      </c>
      <c r="E29" s="286"/>
      <c r="F29" s="287"/>
    </row>
    <row r="30" spans="1:6" x14ac:dyDescent="0.25">
      <c r="A30" s="89">
        <v>2042</v>
      </c>
      <c r="B30" s="89">
        <v>20</v>
      </c>
      <c r="C30" s="90">
        <f t="shared" si="0"/>
        <v>1342070.1661698492</v>
      </c>
      <c r="D30" s="285">
        <f>C30*'Fuel Savings - Values'!$B$4</f>
        <v>3019657.8738821605</v>
      </c>
      <c r="E30" s="286"/>
      <c r="F30" s="287"/>
    </row>
    <row r="31" spans="1:6" x14ac:dyDescent="0.25">
      <c r="A31" s="93"/>
      <c r="B31" s="93"/>
      <c r="C31" s="94" t="s">
        <v>42</v>
      </c>
      <c r="D31" s="95">
        <f t="shared" ref="D31" si="1">AVERAGE(D11:D30)</f>
        <v>2631053.3260289757</v>
      </c>
    </row>
    <row r="32" spans="1:6" x14ac:dyDescent="0.25">
      <c r="A32" s="93"/>
      <c r="B32" s="93"/>
      <c r="C32" s="94" t="s">
        <v>43</v>
      </c>
      <c r="D32" s="95">
        <f t="shared" ref="D32" si="2">SUM(D4:D30)</f>
        <v>52621066.520579517</v>
      </c>
    </row>
    <row r="34" spans="1:1" x14ac:dyDescent="0.25">
      <c r="A34" s="21" t="s">
        <v>38</v>
      </c>
    </row>
    <row r="35" spans="1:1" x14ac:dyDescent="0.25">
      <c r="A35" s="2" t="s">
        <v>484</v>
      </c>
    </row>
    <row r="36" spans="1:1" x14ac:dyDescent="0.25">
      <c r="A36" s="2" t="s">
        <v>66</v>
      </c>
    </row>
    <row r="37" spans="1:1" x14ac:dyDescent="0.25">
      <c r="A37" s="2" t="s">
        <v>264</v>
      </c>
    </row>
    <row r="38" spans="1:1" x14ac:dyDescent="0.25">
      <c r="A38" s="2" t="s">
        <v>118</v>
      </c>
    </row>
  </sheetData>
  <mergeCells count="1">
    <mergeCell ref="A1:D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499984740745262"/>
  </sheetPr>
  <dimension ref="A1:Q114"/>
  <sheetViews>
    <sheetView zoomScale="80" zoomScaleNormal="80" workbookViewId="0">
      <selection activeCell="H93" sqref="H93"/>
    </sheetView>
  </sheetViews>
  <sheetFormatPr defaultRowHeight="15" x14ac:dyDescent="0.25"/>
  <cols>
    <col min="1" max="4" width="12.85546875" customWidth="1"/>
    <col min="5" max="16" width="24.28515625" customWidth="1"/>
    <col min="17" max="17" width="20.140625" customWidth="1"/>
  </cols>
  <sheetData>
    <row r="1" spans="1:17" x14ac:dyDescent="0.25">
      <c r="A1" s="478" t="s">
        <v>260</v>
      </c>
      <c r="B1" s="478"/>
      <c r="C1" s="478"/>
      <c r="D1" s="478"/>
      <c r="E1" s="478"/>
      <c r="F1" s="478"/>
      <c r="G1" s="478"/>
      <c r="H1" s="478"/>
      <c r="I1" s="478"/>
      <c r="J1" s="478"/>
      <c r="K1" s="478"/>
      <c r="L1" s="478"/>
      <c r="M1" s="478"/>
      <c r="N1" s="478"/>
      <c r="O1" s="478"/>
      <c r="P1" s="478"/>
      <c r="Q1" s="478"/>
    </row>
    <row r="2" spans="1:17" ht="15.75" thickBot="1" x14ac:dyDescent="0.3"/>
    <row r="3" spans="1:17" ht="15" customHeight="1" x14ac:dyDescent="0.25">
      <c r="A3" s="525" t="s">
        <v>289</v>
      </c>
      <c r="B3" s="527" t="s">
        <v>25</v>
      </c>
      <c r="C3" s="527" t="s">
        <v>45</v>
      </c>
      <c r="D3" s="528" t="s">
        <v>46</v>
      </c>
      <c r="E3" s="590" t="s">
        <v>53</v>
      </c>
      <c r="F3" s="591"/>
      <c r="G3" s="586" t="s">
        <v>54</v>
      </c>
      <c r="H3" s="587"/>
      <c r="I3" s="578" t="s">
        <v>50</v>
      </c>
      <c r="J3" s="579"/>
      <c r="K3" s="594" t="s">
        <v>51</v>
      </c>
      <c r="L3" s="595"/>
      <c r="M3" s="596" t="s">
        <v>52</v>
      </c>
      <c r="N3" s="597"/>
      <c r="O3" s="598" t="s">
        <v>55</v>
      </c>
      <c r="P3" s="599"/>
      <c r="Q3" s="592" t="s">
        <v>300</v>
      </c>
    </row>
    <row r="4" spans="1:17" ht="15" customHeight="1" x14ac:dyDescent="0.25">
      <c r="A4" s="526"/>
      <c r="B4" s="488"/>
      <c r="C4" s="488"/>
      <c r="D4" s="529"/>
      <c r="E4" s="582" t="s">
        <v>47</v>
      </c>
      <c r="F4" s="588" t="s">
        <v>292</v>
      </c>
      <c r="G4" s="535" t="s">
        <v>47</v>
      </c>
      <c r="H4" s="588" t="s">
        <v>292</v>
      </c>
      <c r="I4" s="538" t="s">
        <v>47</v>
      </c>
      <c r="J4" s="580" t="s">
        <v>292</v>
      </c>
      <c r="K4" s="584" t="s">
        <v>47</v>
      </c>
      <c r="L4" s="580" t="s">
        <v>292</v>
      </c>
      <c r="M4" s="545" t="s">
        <v>47</v>
      </c>
      <c r="N4" s="600" t="s">
        <v>292</v>
      </c>
      <c r="O4" s="555" t="s">
        <v>47</v>
      </c>
      <c r="P4" s="576" t="s">
        <v>292</v>
      </c>
      <c r="Q4" s="593"/>
    </row>
    <row r="5" spans="1:17" x14ac:dyDescent="0.25">
      <c r="A5" s="526"/>
      <c r="B5" s="489"/>
      <c r="C5" s="489"/>
      <c r="D5" s="530"/>
      <c r="E5" s="583"/>
      <c r="F5" s="589"/>
      <c r="G5" s="535"/>
      <c r="H5" s="589"/>
      <c r="I5" s="538"/>
      <c r="J5" s="581"/>
      <c r="K5" s="585"/>
      <c r="L5" s="581"/>
      <c r="M5" s="545"/>
      <c r="N5" s="601"/>
      <c r="O5" s="555"/>
      <c r="P5" s="577"/>
      <c r="Q5" s="593"/>
    </row>
    <row r="6" spans="1:17" x14ac:dyDescent="0.25">
      <c r="A6" s="254">
        <v>9</v>
      </c>
      <c r="B6" s="23" t="s">
        <v>26</v>
      </c>
      <c r="C6" s="24">
        <v>48682</v>
      </c>
      <c r="D6" s="255">
        <v>0.1</v>
      </c>
      <c r="E6" s="250">
        <v>49</v>
      </c>
      <c r="F6" s="26">
        <f>(2722/(E6*1.609344))+85.1</f>
        <v>119.61780378102088</v>
      </c>
      <c r="G6" s="26">
        <v>36</v>
      </c>
      <c r="H6" s="26">
        <f>(2722/(G6*1.609344))+85.1</f>
        <v>132.08256625750062</v>
      </c>
      <c r="I6" s="242">
        <v>49</v>
      </c>
      <c r="J6" s="26">
        <f>(2722/(I6*1.609344))+85.1</f>
        <v>119.61780378102088</v>
      </c>
      <c r="K6" s="28">
        <v>42</v>
      </c>
      <c r="L6" s="26">
        <f>(2722/(K6*1.609344))+85.1</f>
        <v>125.37077107785768</v>
      </c>
      <c r="M6" s="242">
        <v>31</v>
      </c>
      <c r="N6" s="26">
        <f>(2722/(M6*1.609344))+85.1</f>
        <v>139.66039952483945</v>
      </c>
      <c r="O6" s="28">
        <v>32</v>
      </c>
      <c r="P6" s="338">
        <f>(2722/(O6*1.609344))+85.1</f>
        <v>137.95538703968822</v>
      </c>
      <c r="Q6" s="336">
        <f>((C6*D6*1.60934*0.15)*(F6-H6)+(C6*D6*1.60934*0.65)*(J6-L6)+(C6*D6*1.60934*0.2)*(N6-P6))*0.000264172*365</f>
        <v>-3979.7264827961094</v>
      </c>
    </row>
    <row r="7" spans="1:17" x14ac:dyDescent="0.25">
      <c r="A7" s="254">
        <v>9</v>
      </c>
      <c r="B7" s="23" t="s">
        <v>27</v>
      </c>
      <c r="C7" s="24">
        <v>1534</v>
      </c>
      <c r="D7" s="255">
        <v>0.5</v>
      </c>
      <c r="E7" s="250">
        <v>47</v>
      </c>
      <c r="F7" s="26">
        <f t="shared" ref="F7:F70" si="0">(2722/(E7*1.609344))+85.1</f>
        <v>121.08664649510686</v>
      </c>
      <c r="G7" s="26">
        <v>43</v>
      </c>
      <c r="H7" s="26">
        <f t="shared" ref="H7:H70" si="1">(2722/(G7*1.609344))+85.1</f>
        <v>124.43424151790751</v>
      </c>
      <c r="I7" s="242">
        <v>48</v>
      </c>
      <c r="J7" s="26">
        <f t="shared" ref="J7:J70" si="2">(2722/(I7*1.609344))+85.1</f>
        <v>120.33692469312547</v>
      </c>
      <c r="K7" s="28">
        <v>45</v>
      </c>
      <c r="L7" s="26">
        <f t="shared" ref="L7:L70" si="3">(2722/(K7*1.609344))+85.1</f>
        <v>122.68605300600051</v>
      </c>
      <c r="M7" s="242">
        <v>48</v>
      </c>
      <c r="N7" s="26">
        <f t="shared" ref="N7:N70" si="4">(2722/(M7*1.609344))+85.1</f>
        <v>120.33692469312547</v>
      </c>
      <c r="O7" s="28">
        <v>44</v>
      </c>
      <c r="P7" s="338">
        <f t="shared" ref="P7:P70" si="5">(2722/(O7*1.609344))+85.1</f>
        <v>123.54028148340961</v>
      </c>
      <c r="Q7" s="336">
        <f t="shared" ref="Q7:Q70" si="6">((C7*D7*1.60934*0.15)*(F7-H7)+(C7*D7*1.60934*0.65)*(J7-L7)+(C7*D7*1.60934*0.2)*(N7-P7))*0.000264172*365</f>
        <v>-317.7550342665096</v>
      </c>
    </row>
    <row r="8" spans="1:17" x14ac:dyDescent="0.25">
      <c r="A8" s="256">
        <v>10</v>
      </c>
      <c r="B8" s="16" t="s">
        <v>26</v>
      </c>
      <c r="C8" s="24">
        <v>49976</v>
      </c>
      <c r="D8" s="255">
        <v>0.1</v>
      </c>
      <c r="E8" s="250">
        <v>24</v>
      </c>
      <c r="F8" s="26">
        <f t="shared" si="0"/>
        <v>155.57384938625097</v>
      </c>
      <c r="G8" s="26">
        <v>27</v>
      </c>
      <c r="H8" s="26">
        <f t="shared" si="1"/>
        <v>147.74342167666751</v>
      </c>
      <c r="I8" s="210">
        <v>7</v>
      </c>
      <c r="J8" s="26">
        <f t="shared" si="2"/>
        <v>326.72462646714609</v>
      </c>
      <c r="K8" s="29">
        <v>7</v>
      </c>
      <c r="L8" s="26">
        <f t="shared" si="3"/>
        <v>326.72462646714609</v>
      </c>
      <c r="M8" s="210">
        <v>7</v>
      </c>
      <c r="N8" s="26">
        <f t="shared" si="4"/>
        <v>326.72462646714609</v>
      </c>
      <c r="O8" s="29">
        <v>6</v>
      </c>
      <c r="P8" s="338">
        <f t="shared" si="5"/>
        <v>366.99539754500381</v>
      </c>
      <c r="Q8" s="336">
        <f t="shared" si="6"/>
        <v>-5335.2098671198401</v>
      </c>
    </row>
    <row r="9" spans="1:17" x14ac:dyDescent="0.25">
      <c r="A9" s="256">
        <v>10</v>
      </c>
      <c r="B9" s="16" t="s">
        <v>27</v>
      </c>
      <c r="C9" s="24">
        <v>50059</v>
      </c>
      <c r="D9" s="255">
        <v>0.1</v>
      </c>
      <c r="E9" s="250">
        <v>11</v>
      </c>
      <c r="F9" s="26">
        <f t="shared" si="0"/>
        <v>238.86112593363845</v>
      </c>
      <c r="G9" s="26">
        <v>16</v>
      </c>
      <c r="H9" s="26">
        <f t="shared" si="1"/>
        <v>190.81077407937642</v>
      </c>
      <c r="I9" s="210">
        <v>23</v>
      </c>
      <c r="J9" s="26">
        <f t="shared" si="2"/>
        <v>158.63792979434882</v>
      </c>
      <c r="K9" s="29">
        <v>24</v>
      </c>
      <c r="L9" s="26">
        <f t="shared" si="3"/>
        <v>155.57384938625097</v>
      </c>
      <c r="M9" s="210">
        <v>13</v>
      </c>
      <c r="N9" s="26">
        <f t="shared" si="4"/>
        <v>215.20556809769406</v>
      </c>
      <c r="O9" s="29">
        <v>15</v>
      </c>
      <c r="P9" s="338">
        <f t="shared" si="5"/>
        <v>197.85815901800152</v>
      </c>
      <c r="Q9" s="336">
        <f t="shared" si="6"/>
        <v>9841.0451794847268</v>
      </c>
    </row>
    <row r="10" spans="1:17" x14ac:dyDescent="0.25">
      <c r="A10" s="256">
        <v>13</v>
      </c>
      <c r="B10" s="16" t="s">
        <v>26</v>
      </c>
      <c r="C10" s="24">
        <v>48682</v>
      </c>
      <c r="D10" s="255">
        <v>0.1</v>
      </c>
      <c r="E10" s="250">
        <v>34</v>
      </c>
      <c r="F10" s="26">
        <f t="shared" si="0"/>
        <v>134.84624662558889</v>
      </c>
      <c r="G10" s="26">
        <v>28</v>
      </c>
      <c r="H10" s="26">
        <f t="shared" si="1"/>
        <v>145.50615661678654</v>
      </c>
      <c r="I10" s="210">
        <v>8</v>
      </c>
      <c r="J10" s="26">
        <f t="shared" si="2"/>
        <v>296.52154815875286</v>
      </c>
      <c r="K10" s="29">
        <v>11</v>
      </c>
      <c r="L10" s="334">
        <f t="shared" si="3"/>
        <v>238.86112593363845</v>
      </c>
      <c r="M10" s="210">
        <v>7</v>
      </c>
      <c r="N10" s="26">
        <f t="shared" si="4"/>
        <v>326.72462646714609</v>
      </c>
      <c r="O10" s="29">
        <v>9</v>
      </c>
      <c r="P10" s="338">
        <f t="shared" si="5"/>
        <v>273.03026503000251</v>
      </c>
      <c r="Q10" s="336">
        <f t="shared" si="6"/>
        <v>35217.645098719637</v>
      </c>
    </row>
    <row r="11" spans="1:17" x14ac:dyDescent="0.25">
      <c r="A11" s="256">
        <v>13</v>
      </c>
      <c r="B11" s="16" t="s">
        <v>27</v>
      </c>
      <c r="C11" s="24">
        <v>1534</v>
      </c>
      <c r="D11" s="255">
        <v>0.1</v>
      </c>
      <c r="E11" s="250">
        <v>37</v>
      </c>
      <c r="F11" s="26">
        <f t="shared" si="0"/>
        <v>130.81276716946007</v>
      </c>
      <c r="G11" s="26">
        <v>8</v>
      </c>
      <c r="H11" s="26">
        <f t="shared" si="1"/>
        <v>296.52154815875286</v>
      </c>
      <c r="I11" s="210">
        <v>43</v>
      </c>
      <c r="J11" s="26">
        <f t="shared" si="2"/>
        <v>124.43424151790751</v>
      </c>
      <c r="K11" s="29">
        <v>24</v>
      </c>
      <c r="L11" s="26">
        <f t="shared" si="3"/>
        <v>155.57384938625097</v>
      </c>
      <c r="M11" s="210">
        <v>38</v>
      </c>
      <c r="N11" s="26">
        <f t="shared" si="4"/>
        <v>129.60979961236902</v>
      </c>
      <c r="O11" s="29">
        <v>7</v>
      </c>
      <c r="P11" s="338">
        <f t="shared" si="5"/>
        <v>326.72462646714609</v>
      </c>
      <c r="Q11" s="336">
        <f t="shared" si="6"/>
        <v>-2011.9280446090211</v>
      </c>
    </row>
    <row r="12" spans="1:17" x14ac:dyDescent="0.25">
      <c r="A12" s="256">
        <v>14</v>
      </c>
      <c r="B12" s="16" t="s">
        <v>26</v>
      </c>
      <c r="C12" s="24">
        <v>48682</v>
      </c>
      <c r="D12" s="255">
        <v>0.4</v>
      </c>
      <c r="E12" s="250">
        <v>50</v>
      </c>
      <c r="F12" s="26">
        <f t="shared" si="0"/>
        <v>118.92744770540045</v>
      </c>
      <c r="G12" s="26">
        <v>39</v>
      </c>
      <c r="H12" s="26">
        <f t="shared" si="1"/>
        <v>128.46852269923136</v>
      </c>
      <c r="I12" s="210">
        <v>10</v>
      </c>
      <c r="J12" s="26">
        <f t="shared" si="2"/>
        <v>254.23723852700229</v>
      </c>
      <c r="K12" s="29">
        <v>11</v>
      </c>
      <c r="L12" s="334">
        <f t="shared" si="3"/>
        <v>238.86112593363845</v>
      </c>
      <c r="M12" s="210">
        <v>5</v>
      </c>
      <c r="N12" s="334">
        <f t="shared" si="4"/>
        <v>423.37447705400461</v>
      </c>
      <c r="O12" s="29">
        <v>5</v>
      </c>
      <c r="P12" s="338">
        <f t="shared" si="5"/>
        <v>423.37447705400461</v>
      </c>
      <c r="Q12" s="336">
        <f t="shared" si="6"/>
        <v>25876.028579882986</v>
      </c>
    </row>
    <row r="13" spans="1:17" x14ac:dyDescent="0.25">
      <c r="A13" s="256">
        <v>14</v>
      </c>
      <c r="B13" s="16" t="s">
        <v>27</v>
      </c>
      <c r="C13" s="24">
        <v>1534</v>
      </c>
      <c r="D13" s="255">
        <v>0.1</v>
      </c>
      <c r="E13" s="250">
        <v>42</v>
      </c>
      <c r="F13" s="26">
        <f t="shared" si="0"/>
        <v>125.37077107785768</v>
      </c>
      <c r="G13" s="26">
        <v>9</v>
      </c>
      <c r="H13" s="26">
        <f t="shared" si="1"/>
        <v>273.03026503000251</v>
      </c>
      <c r="I13" s="210">
        <v>44</v>
      </c>
      <c r="J13" s="26">
        <f t="shared" si="2"/>
        <v>123.54028148340961</v>
      </c>
      <c r="K13" s="29">
        <v>27</v>
      </c>
      <c r="L13" s="26">
        <f t="shared" si="3"/>
        <v>147.74342167666751</v>
      </c>
      <c r="M13" s="210">
        <v>43</v>
      </c>
      <c r="N13" s="26">
        <f t="shared" si="4"/>
        <v>124.43424151790751</v>
      </c>
      <c r="O13" s="29">
        <v>11</v>
      </c>
      <c r="P13" s="338">
        <f t="shared" si="5"/>
        <v>238.86112593363845</v>
      </c>
      <c r="Q13" s="336">
        <f t="shared" si="6"/>
        <v>-1446.4915744257767</v>
      </c>
    </row>
    <row r="14" spans="1:17" x14ac:dyDescent="0.25">
      <c r="A14" s="256">
        <v>22</v>
      </c>
      <c r="B14" s="16" t="s">
        <v>26</v>
      </c>
      <c r="C14" s="24">
        <v>48682</v>
      </c>
      <c r="D14" s="255">
        <v>0.01</v>
      </c>
      <c r="E14" s="250">
        <v>37</v>
      </c>
      <c r="F14" s="26">
        <f t="shared" si="0"/>
        <v>130.81276716946007</v>
      </c>
      <c r="G14" s="26">
        <v>37</v>
      </c>
      <c r="H14" s="26">
        <f t="shared" si="1"/>
        <v>130.81276716946007</v>
      </c>
      <c r="I14" s="210">
        <v>44</v>
      </c>
      <c r="J14" s="26">
        <f t="shared" si="2"/>
        <v>123.54028148340961</v>
      </c>
      <c r="K14" s="29">
        <v>44</v>
      </c>
      <c r="L14" s="26">
        <f t="shared" si="3"/>
        <v>123.54028148340961</v>
      </c>
      <c r="M14" s="210">
        <v>34</v>
      </c>
      <c r="N14" s="26">
        <f t="shared" si="4"/>
        <v>134.84624662558889</v>
      </c>
      <c r="O14" s="29">
        <v>20</v>
      </c>
      <c r="P14" s="338">
        <f t="shared" si="5"/>
        <v>169.66861926350114</v>
      </c>
      <c r="Q14" s="336">
        <f t="shared" si="6"/>
        <v>-526.11928437729296</v>
      </c>
    </row>
    <row r="15" spans="1:17" x14ac:dyDescent="0.25">
      <c r="A15" s="256">
        <v>22</v>
      </c>
      <c r="B15" s="16" t="s">
        <v>27</v>
      </c>
      <c r="C15" s="24">
        <v>1534</v>
      </c>
      <c r="D15" s="255">
        <v>0.1</v>
      </c>
      <c r="E15" s="250">
        <v>38</v>
      </c>
      <c r="F15" s="26">
        <f t="shared" si="0"/>
        <v>129.60979961236902</v>
      </c>
      <c r="G15" s="26">
        <v>39</v>
      </c>
      <c r="H15" s="26">
        <f t="shared" si="1"/>
        <v>128.46852269923136</v>
      </c>
      <c r="I15" s="210">
        <v>42</v>
      </c>
      <c r="J15" s="26">
        <f t="shared" si="2"/>
        <v>125.37077107785768</v>
      </c>
      <c r="K15" s="29">
        <v>41</v>
      </c>
      <c r="L15" s="26">
        <f t="shared" si="3"/>
        <v>126.35298500658593</v>
      </c>
      <c r="M15" s="210">
        <v>39</v>
      </c>
      <c r="N15" s="26">
        <f t="shared" si="4"/>
        <v>128.46852269923136</v>
      </c>
      <c r="O15" s="29">
        <v>40</v>
      </c>
      <c r="P15" s="338">
        <f t="shared" si="5"/>
        <v>127.38430963175057</v>
      </c>
      <c r="Q15" s="336">
        <f t="shared" si="6"/>
        <v>-5.9606777396220325</v>
      </c>
    </row>
    <row r="16" spans="1:17" x14ac:dyDescent="0.25">
      <c r="A16" s="256">
        <v>23</v>
      </c>
      <c r="B16" s="16" t="s">
        <v>26</v>
      </c>
      <c r="C16" s="24">
        <v>44274</v>
      </c>
      <c r="D16" s="255">
        <v>0.1</v>
      </c>
      <c r="E16" s="250">
        <v>32</v>
      </c>
      <c r="F16" s="26">
        <f t="shared" si="0"/>
        <v>137.95538703968822</v>
      </c>
      <c r="G16" s="26">
        <v>29</v>
      </c>
      <c r="H16" s="26">
        <f t="shared" si="1"/>
        <v>143.42318569896631</v>
      </c>
      <c r="I16" s="210">
        <v>30</v>
      </c>
      <c r="J16" s="26">
        <f t="shared" si="2"/>
        <v>141.47907950900077</v>
      </c>
      <c r="K16" s="29">
        <v>31</v>
      </c>
      <c r="L16" s="26">
        <f t="shared" si="3"/>
        <v>139.66039952483945</v>
      </c>
      <c r="M16" s="210">
        <v>26</v>
      </c>
      <c r="N16" s="26">
        <f t="shared" si="4"/>
        <v>150.15278404884702</v>
      </c>
      <c r="O16" s="29">
        <v>22</v>
      </c>
      <c r="P16" s="338">
        <f t="shared" si="5"/>
        <v>161.98056296681921</v>
      </c>
      <c r="Q16" s="336">
        <f t="shared" si="6"/>
        <v>-1376.5236638089591</v>
      </c>
    </row>
    <row r="17" spans="1:17" x14ac:dyDescent="0.25">
      <c r="A17" s="256">
        <v>23</v>
      </c>
      <c r="B17" s="16" t="s">
        <v>27</v>
      </c>
      <c r="C17" s="24">
        <v>43958</v>
      </c>
      <c r="D17" s="255">
        <v>0.1</v>
      </c>
      <c r="E17" s="250">
        <v>30</v>
      </c>
      <c r="F17" s="26">
        <f t="shared" si="0"/>
        <v>141.47907950900077</v>
      </c>
      <c r="G17" s="26">
        <v>26</v>
      </c>
      <c r="H17" s="26">
        <f t="shared" si="1"/>
        <v>150.15278404884702</v>
      </c>
      <c r="I17" s="210">
        <v>33</v>
      </c>
      <c r="J17" s="334">
        <f t="shared" si="2"/>
        <v>136.35370864454615</v>
      </c>
      <c r="K17" s="29">
        <v>32</v>
      </c>
      <c r="L17" s="334">
        <f t="shared" si="3"/>
        <v>137.95538703968822</v>
      </c>
      <c r="M17" s="210">
        <v>24</v>
      </c>
      <c r="N17" s="26">
        <f t="shared" si="4"/>
        <v>155.57384938625097</v>
      </c>
      <c r="O17" s="29">
        <v>20</v>
      </c>
      <c r="P17" s="338">
        <f t="shared" si="5"/>
        <v>169.66861926350114</v>
      </c>
      <c r="Q17" s="336">
        <f t="shared" si="6"/>
        <v>-3520.5272042440556</v>
      </c>
    </row>
    <row r="18" spans="1:17" x14ac:dyDescent="0.25">
      <c r="A18" s="256">
        <v>28</v>
      </c>
      <c r="B18" s="16" t="s">
        <v>26</v>
      </c>
      <c r="C18" s="24">
        <v>41699</v>
      </c>
      <c r="D18" s="255">
        <v>0.4</v>
      </c>
      <c r="E18" s="250">
        <v>35</v>
      </c>
      <c r="F18" s="26">
        <f t="shared" si="0"/>
        <v>133.42492529342923</v>
      </c>
      <c r="G18" s="26">
        <v>40</v>
      </c>
      <c r="H18" s="26">
        <f t="shared" si="1"/>
        <v>127.38430963175057</v>
      </c>
      <c r="I18" s="210">
        <v>39</v>
      </c>
      <c r="J18" s="26">
        <f t="shared" si="2"/>
        <v>128.46852269923136</v>
      </c>
      <c r="K18" s="29">
        <v>43</v>
      </c>
      <c r="L18" s="26">
        <f t="shared" si="3"/>
        <v>124.43424151790751</v>
      </c>
      <c r="M18" s="210">
        <v>35</v>
      </c>
      <c r="N18" s="334">
        <f t="shared" si="4"/>
        <v>133.42492529342923</v>
      </c>
      <c r="O18" s="29">
        <v>34</v>
      </c>
      <c r="P18" s="338">
        <f t="shared" si="5"/>
        <v>134.84624662558889</v>
      </c>
      <c r="Q18" s="336">
        <f t="shared" si="6"/>
        <v>8396.7026012866481</v>
      </c>
    </row>
    <row r="19" spans="1:17" x14ac:dyDescent="0.25">
      <c r="A19" s="256">
        <v>28</v>
      </c>
      <c r="B19" s="16" t="s">
        <v>27</v>
      </c>
      <c r="C19" s="24">
        <v>43395</v>
      </c>
      <c r="D19" s="255">
        <v>0.2</v>
      </c>
      <c r="E19" s="250">
        <v>30</v>
      </c>
      <c r="F19" s="26">
        <f t="shared" si="0"/>
        <v>141.47907950900077</v>
      </c>
      <c r="G19" s="26">
        <v>34</v>
      </c>
      <c r="H19" s="26">
        <f t="shared" si="1"/>
        <v>134.84624662558889</v>
      </c>
      <c r="I19" s="210">
        <v>35</v>
      </c>
      <c r="J19" s="26">
        <f t="shared" si="2"/>
        <v>133.42492529342923</v>
      </c>
      <c r="K19" s="29">
        <v>36</v>
      </c>
      <c r="L19" s="26">
        <f t="shared" si="3"/>
        <v>132.08256625750062</v>
      </c>
      <c r="M19" s="210">
        <v>30</v>
      </c>
      <c r="N19" s="334">
        <f t="shared" si="4"/>
        <v>141.47907950900077</v>
      </c>
      <c r="O19" s="29">
        <v>32</v>
      </c>
      <c r="P19" s="338">
        <f t="shared" si="5"/>
        <v>137.95538703968822</v>
      </c>
      <c r="Q19" s="336">
        <f t="shared" si="6"/>
        <v>3464.1870695961948</v>
      </c>
    </row>
    <row r="20" spans="1:17" x14ac:dyDescent="0.25">
      <c r="A20" s="256">
        <v>31</v>
      </c>
      <c r="B20" s="16" t="s">
        <v>26</v>
      </c>
      <c r="C20" s="24">
        <v>41767</v>
      </c>
      <c r="D20" s="255">
        <v>0.2</v>
      </c>
      <c r="E20" s="250">
        <v>31</v>
      </c>
      <c r="F20" s="26">
        <f t="shared" si="0"/>
        <v>139.66039952483945</v>
      </c>
      <c r="G20" s="26">
        <v>37</v>
      </c>
      <c r="H20" s="26">
        <f t="shared" si="1"/>
        <v>130.81276716946007</v>
      </c>
      <c r="I20" s="210">
        <v>33</v>
      </c>
      <c r="J20" s="334">
        <f t="shared" si="2"/>
        <v>136.35370864454615</v>
      </c>
      <c r="K20" s="29">
        <v>34</v>
      </c>
      <c r="L20" s="26">
        <f t="shared" si="3"/>
        <v>134.84624662558889</v>
      </c>
      <c r="M20" s="210">
        <v>33</v>
      </c>
      <c r="N20" s="26">
        <f t="shared" si="4"/>
        <v>136.35370864454615</v>
      </c>
      <c r="O20" s="29">
        <v>34</v>
      </c>
      <c r="P20" s="338">
        <f t="shared" si="5"/>
        <v>134.84624662558889</v>
      </c>
      <c r="Q20" s="336">
        <f t="shared" si="6"/>
        <v>3381.267294766858</v>
      </c>
    </row>
    <row r="21" spans="1:17" x14ac:dyDescent="0.25">
      <c r="A21" s="256">
        <v>31</v>
      </c>
      <c r="B21" s="16" t="s">
        <v>27</v>
      </c>
      <c r="C21" s="24">
        <v>44703</v>
      </c>
      <c r="D21" s="255">
        <v>0.2</v>
      </c>
      <c r="E21" s="250">
        <v>32</v>
      </c>
      <c r="F21" s="26">
        <f t="shared" si="0"/>
        <v>137.95538703968822</v>
      </c>
      <c r="G21" s="26">
        <v>37</v>
      </c>
      <c r="H21" s="26">
        <f t="shared" si="1"/>
        <v>130.81276716946007</v>
      </c>
      <c r="I21" s="210">
        <v>37</v>
      </c>
      <c r="J21" s="26">
        <f t="shared" si="2"/>
        <v>130.81276716946007</v>
      </c>
      <c r="K21" s="29">
        <v>39</v>
      </c>
      <c r="L21" s="26">
        <f t="shared" si="3"/>
        <v>128.46852269923136</v>
      </c>
      <c r="M21" s="210">
        <v>26</v>
      </c>
      <c r="N21" s="26">
        <f t="shared" si="4"/>
        <v>150.15278404884702</v>
      </c>
      <c r="O21" s="29">
        <v>32</v>
      </c>
      <c r="P21" s="338">
        <f t="shared" si="5"/>
        <v>137.95538703968822</v>
      </c>
      <c r="Q21" s="336">
        <f t="shared" si="6"/>
        <v>6984.9256859451971</v>
      </c>
    </row>
    <row r="22" spans="1:17" x14ac:dyDescent="0.25">
      <c r="A22" s="256">
        <v>34</v>
      </c>
      <c r="B22" s="16" t="s">
        <v>26</v>
      </c>
      <c r="C22" s="24">
        <v>40658</v>
      </c>
      <c r="D22" s="255">
        <v>0.2</v>
      </c>
      <c r="E22" s="250">
        <v>19</v>
      </c>
      <c r="F22" s="26">
        <f t="shared" si="0"/>
        <v>174.11959922473804</v>
      </c>
      <c r="G22" s="26">
        <v>31</v>
      </c>
      <c r="H22" s="26">
        <f t="shared" si="1"/>
        <v>139.66039952483945</v>
      </c>
      <c r="I22" s="210">
        <v>27</v>
      </c>
      <c r="J22" s="26">
        <f t="shared" si="2"/>
        <v>147.74342167666751</v>
      </c>
      <c r="K22" s="29">
        <v>37</v>
      </c>
      <c r="L22" s="26">
        <f t="shared" si="3"/>
        <v>130.81276716946007</v>
      </c>
      <c r="M22" s="210">
        <v>22</v>
      </c>
      <c r="N22" s="26">
        <f t="shared" si="4"/>
        <v>161.98056296681921</v>
      </c>
      <c r="O22" s="29">
        <v>23</v>
      </c>
      <c r="P22" s="338">
        <f t="shared" si="5"/>
        <v>158.63792979434882</v>
      </c>
      <c r="Q22" s="336">
        <f t="shared" si="6"/>
        <v>21252.287681419111</v>
      </c>
    </row>
    <row r="23" spans="1:17" x14ac:dyDescent="0.25">
      <c r="A23" s="256">
        <v>34</v>
      </c>
      <c r="B23" s="16" t="s">
        <v>27</v>
      </c>
      <c r="C23" s="25">
        <v>46834</v>
      </c>
      <c r="D23" s="255">
        <v>0.1</v>
      </c>
      <c r="E23" s="250">
        <v>31</v>
      </c>
      <c r="F23" s="26">
        <f t="shared" si="0"/>
        <v>139.66039952483945</v>
      </c>
      <c r="G23" s="26">
        <v>33</v>
      </c>
      <c r="H23" s="26">
        <f t="shared" si="1"/>
        <v>136.35370864454615</v>
      </c>
      <c r="I23" s="210">
        <v>40</v>
      </c>
      <c r="J23" s="26">
        <f t="shared" si="2"/>
        <v>127.38430963175057</v>
      </c>
      <c r="K23" s="29">
        <v>39</v>
      </c>
      <c r="L23" s="26">
        <f t="shared" si="3"/>
        <v>128.46852269923136</v>
      </c>
      <c r="M23" s="210">
        <v>38</v>
      </c>
      <c r="N23" s="26">
        <f t="shared" si="4"/>
        <v>129.60979961236902</v>
      </c>
      <c r="O23" s="29">
        <v>36</v>
      </c>
      <c r="P23" s="338">
        <f t="shared" si="5"/>
        <v>132.08256625750062</v>
      </c>
      <c r="Q23" s="336">
        <f t="shared" si="6"/>
        <v>-511.11900665649927</v>
      </c>
    </row>
    <row r="24" spans="1:17" x14ac:dyDescent="0.25">
      <c r="A24" s="256">
        <v>35</v>
      </c>
      <c r="B24" s="16" t="s">
        <v>26</v>
      </c>
      <c r="C24" s="24">
        <v>43413</v>
      </c>
      <c r="D24" s="255">
        <v>0.1</v>
      </c>
      <c r="E24" s="250">
        <v>23</v>
      </c>
      <c r="F24" s="26">
        <f t="shared" si="0"/>
        <v>158.63792979434882</v>
      </c>
      <c r="G24" s="26">
        <v>17</v>
      </c>
      <c r="H24" s="26">
        <f t="shared" si="1"/>
        <v>184.59249325117781</v>
      </c>
      <c r="I24" s="210">
        <v>27</v>
      </c>
      <c r="J24" s="26">
        <f t="shared" si="2"/>
        <v>147.74342167666751</v>
      </c>
      <c r="K24" s="29">
        <v>26</v>
      </c>
      <c r="L24" s="26">
        <f t="shared" si="3"/>
        <v>150.15278404884702</v>
      </c>
      <c r="M24" s="210">
        <v>18</v>
      </c>
      <c r="N24" s="26">
        <f t="shared" si="4"/>
        <v>179.06513251500127</v>
      </c>
      <c r="O24" s="29">
        <v>17</v>
      </c>
      <c r="P24" s="338">
        <f t="shared" si="5"/>
        <v>184.59249325117781</v>
      </c>
      <c r="Q24" s="336">
        <f t="shared" si="6"/>
        <v>-4422.4703406653798</v>
      </c>
    </row>
    <row r="25" spans="1:17" x14ac:dyDescent="0.25">
      <c r="A25" s="256">
        <v>35</v>
      </c>
      <c r="B25" s="16" t="s">
        <v>27</v>
      </c>
      <c r="C25" s="24">
        <v>46834</v>
      </c>
      <c r="D25" s="255">
        <v>0.1</v>
      </c>
      <c r="E25" s="250">
        <v>17</v>
      </c>
      <c r="F25" s="26">
        <f t="shared" si="0"/>
        <v>184.59249325117781</v>
      </c>
      <c r="G25" s="26">
        <v>20</v>
      </c>
      <c r="H25" s="26">
        <f t="shared" si="1"/>
        <v>169.66861926350114</v>
      </c>
      <c r="I25" s="210">
        <v>28</v>
      </c>
      <c r="J25" s="26">
        <f t="shared" si="2"/>
        <v>145.50615661678654</v>
      </c>
      <c r="K25" s="29">
        <v>27</v>
      </c>
      <c r="L25" s="26">
        <f t="shared" si="3"/>
        <v>147.74342167666751</v>
      </c>
      <c r="M25" s="210">
        <v>25</v>
      </c>
      <c r="N25" s="26">
        <f t="shared" si="4"/>
        <v>152.75489541080091</v>
      </c>
      <c r="O25" s="29">
        <v>24</v>
      </c>
      <c r="P25" s="338">
        <f t="shared" si="5"/>
        <v>155.57384938625097</v>
      </c>
      <c r="Q25" s="336">
        <f t="shared" si="6"/>
        <v>160.29915723655725</v>
      </c>
    </row>
    <row r="26" spans="1:17" x14ac:dyDescent="0.25">
      <c r="A26" s="256">
        <v>36</v>
      </c>
      <c r="B26" s="16" t="s">
        <v>26</v>
      </c>
      <c r="C26" s="25">
        <v>43413</v>
      </c>
      <c r="D26" s="255">
        <v>0.1</v>
      </c>
      <c r="E26" s="250">
        <v>40</v>
      </c>
      <c r="F26" s="26">
        <f t="shared" si="0"/>
        <v>127.38430963175057</v>
      </c>
      <c r="G26" s="26">
        <v>34</v>
      </c>
      <c r="H26" s="26">
        <f t="shared" si="1"/>
        <v>134.84624662558889</v>
      </c>
      <c r="I26" s="210">
        <v>41</v>
      </c>
      <c r="J26" s="26">
        <f t="shared" si="2"/>
        <v>126.35298500658593</v>
      </c>
      <c r="K26" s="29">
        <v>39</v>
      </c>
      <c r="L26" s="26">
        <f t="shared" si="3"/>
        <v>128.46852269923136</v>
      </c>
      <c r="M26" s="210">
        <v>34</v>
      </c>
      <c r="N26" s="26">
        <f t="shared" si="4"/>
        <v>134.84624662558889</v>
      </c>
      <c r="O26" s="29">
        <v>33</v>
      </c>
      <c r="P26" s="338">
        <f t="shared" si="5"/>
        <v>136.35370864454615</v>
      </c>
      <c r="Q26" s="336">
        <f t="shared" si="6"/>
        <v>-1883.5023270684449</v>
      </c>
    </row>
    <row r="27" spans="1:17" x14ac:dyDescent="0.25">
      <c r="A27" s="256">
        <v>36</v>
      </c>
      <c r="B27" s="16" t="s">
        <v>27</v>
      </c>
      <c r="C27" s="24">
        <v>42974</v>
      </c>
      <c r="D27" s="255">
        <v>0.3</v>
      </c>
      <c r="E27" s="250">
        <v>22</v>
      </c>
      <c r="F27" s="26">
        <f t="shared" si="0"/>
        <v>161.98056296681921</v>
      </c>
      <c r="G27" s="26">
        <v>28</v>
      </c>
      <c r="H27" s="26">
        <f t="shared" si="1"/>
        <v>145.50615661678654</v>
      </c>
      <c r="I27" s="210">
        <v>34</v>
      </c>
      <c r="J27" s="26">
        <f t="shared" si="2"/>
        <v>134.84624662558889</v>
      </c>
      <c r="K27" s="29">
        <v>37</v>
      </c>
      <c r="L27" s="26">
        <f t="shared" si="3"/>
        <v>130.81276716946007</v>
      </c>
      <c r="M27" s="210">
        <v>29</v>
      </c>
      <c r="N27" s="334">
        <f t="shared" si="4"/>
        <v>143.42318569896631</v>
      </c>
      <c r="O27" s="29">
        <v>31</v>
      </c>
      <c r="P27" s="338">
        <f t="shared" si="5"/>
        <v>139.66039952483945</v>
      </c>
      <c r="Q27" s="336">
        <f t="shared" si="6"/>
        <v>11694.311427092836</v>
      </c>
    </row>
    <row r="28" spans="1:17" x14ac:dyDescent="0.25">
      <c r="A28" s="256">
        <v>41</v>
      </c>
      <c r="B28" s="16" t="s">
        <v>26</v>
      </c>
      <c r="C28" s="24">
        <v>39444</v>
      </c>
      <c r="D28" s="255">
        <v>0.1</v>
      </c>
      <c r="E28" s="250">
        <v>27</v>
      </c>
      <c r="F28" s="26">
        <f t="shared" si="0"/>
        <v>147.74342167666751</v>
      </c>
      <c r="G28" s="26">
        <v>34</v>
      </c>
      <c r="H28" s="26">
        <f t="shared" si="1"/>
        <v>134.84624662558889</v>
      </c>
      <c r="I28" s="210">
        <v>11</v>
      </c>
      <c r="J28" s="334">
        <f t="shared" si="2"/>
        <v>238.86112593363845</v>
      </c>
      <c r="K28" s="29">
        <v>18</v>
      </c>
      <c r="L28" s="26">
        <f t="shared" si="3"/>
        <v>179.06513251500127</v>
      </c>
      <c r="M28" s="210">
        <v>9</v>
      </c>
      <c r="N28" s="26">
        <f t="shared" si="4"/>
        <v>273.03026503000251</v>
      </c>
      <c r="O28" s="29">
        <v>14</v>
      </c>
      <c r="P28" s="338">
        <f t="shared" si="5"/>
        <v>205.91231323357306</v>
      </c>
      <c r="Q28" s="336">
        <f t="shared" si="6"/>
        <v>33190.39867112194</v>
      </c>
    </row>
    <row r="29" spans="1:17" x14ac:dyDescent="0.25">
      <c r="A29" s="256">
        <v>41</v>
      </c>
      <c r="B29" s="16" t="s">
        <v>27</v>
      </c>
      <c r="C29" s="25">
        <v>43926</v>
      </c>
      <c r="D29" s="255">
        <v>0.2</v>
      </c>
      <c r="E29" s="250">
        <v>38</v>
      </c>
      <c r="F29" s="26">
        <f t="shared" si="0"/>
        <v>129.60979961236902</v>
      </c>
      <c r="G29" s="26">
        <v>39</v>
      </c>
      <c r="H29" s="26">
        <f t="shared" si="1"/>
        <v>128.46852269923136</v>
      </c>
      <c r="I29" s="210">
        <v>42</v>
      </c>
      <c r="J29" s="26">
        <f t="shared" si="2"/>
        <v>125.37077107785768</v>
      </c>
      <c r="K29" s="29">
        <v>42</v>
      </c>
      <c r="L29" s="26">
        <f t="shared" si="3"/>
        <v>125.37077107785768</v>
      </c>
      <c r="M29" s="210">
        <v>43</v>
      </c>
      <c r="N29" s="26">
        <f t="shared" si="4"/>
        <v>124.43424151790751</v>
      </c>
      <c r="O29" s="29">
        <v>43</v>
      </c>
      <c r="P29" s="338">
        <f t="shared" si="5"/>
        <v>124.43424151790751</v>
      </c>
      <c r="Q29" s="336">
        <f t="shared" si="6"/>
        <v>233.3787978198817</v>
      </c>
    </row>
    <row r="30" spans="1:17" x14ac:dyDescent="0.25">
      <c r="A30" s="256">
        <v>42</v>
      </c>
      <c r="B30" s="16" t="s">
        <v>26</v>
      </c>
      <c r="C30" s="25">
        <v>43926</v>
      </c>
      <c r="D30" s="255">
        <v>0.2</v>
      </c>
      <c r="E30" s="250">
        <v>32</v>
      </c>
      <c r="F30" s="26">
        <f t="shared" si="0"/>
        <v>137.95538703968822</v>
      </c>
      <c r="G30" s="26">
        <v>31</v>
      </c>
      <c r="H30" s="26">
        <f t="shared" si="1"/>
        <v>139.66039952483945</v>
      </c>
      <c r="I30" s="210">
        <v>9</v>
      </c>
      <c r="J30" s="26">
        <f t="shared" si="2"/>
        <v>273.03026503000251</v>
      </c>
      <c r="K30" s="29">
        <v>11</v>
      </c>
      <c r="L30" s="334">
        <f t="shared" si="3"/>
        <v>238.86112593363845</v>
      </c>
      <c r="M30" s="210">
        <v>9</v>
      </c>
      <c r="N30" s="26">
        <f t="shared" si="4"/>
        <v>273.03026503000251</v>
      </c>
      <c r="O30" s="29">
        <v>11</v>
      </c>
      <c r="P30" s="338">
        <f t="shared" si="5"/>
        <v>238.86112593363845</v>
      </c>
      <c r="Q30" s="336">
        <f t="shared" si="6"/>
        <v>39245.588703758935</v>
      </c>
    </row>
    <row r="31" spans="1:17" x14ac:dyDescent="0.25">
      <c r="A31" s="256">
        <v>42</v>
      </c>
      <c r="B31" s="16" t="s">
        <v>27</v>
      </c>
      <c r="C31" s="24">
        <v>47125</v>
      </c>
      <c r="D31" s="255">
        <v>0.1</v>
      </c>
      <c r="E31" s="250">
        <v>25</v>
      </c>
      <c r="F31" s="26">
        <f t="shared" si="0"/>
        <v>152.75489541080091</v>
      </c>
      <c r="G31" s="26">
        <v>27</v>
      </c>
      <c r="H31" s="26">
        <f t="shared" si="1"/>
        <v>147.74342167666751</v>
      </c>
      <c r="I31" s="210">
        <v>27</v>
      </c>
      <c r="J31" s="26">
        <f t="shared" si="2"/>
        <v>147.74342167666751</v>
      </c>
      <c r="K31" s="29">
        <v>28</v>
      </c>
      <c r="L31" s="26">
        <f t="shared" si="3"/>
        <v>145.50615661678654</v>
      </c>
      <c r="M31" s="210">
        <v>28</v>
      </c>
      <c r="N31" s="26">
        <f t="shared" si="4"/>
        <v>145.50615661678654</v>
      </c>
      <c r="O31" s="29">
        <v>28</v>
      </c>
      <c r="P31" s="338">
        <f t="shared" si="5"/>
        <v>145.50615661678654</v>
      </c>
      <c r="Q31" s="336">
        <f t="shared" si="6"/>
        <v>1613.144132130994</v>
      </c>
    </row>
    <row r="32" spans="1:17" x14ac:dyDescent="0.25">
      <c r="A32" s="256">
        <v>116</v>
      </c>
      <c r="B32" s="16" t="s">
        <v>26</v>
      </c>
      <c r="C32" s="24">
        <v>48682</v>
      </c>
      <c r="D32" s="255">
        <v>0.5</v>
      </c>
      <c r="E32" s="250">
        <v>48</v>
      </c>
      <c r="F32" s="26">
        <f t="shared" si="0"/>
        <v>120.33692469312547</v>
      </c>
      <c r="G32" s="26">
        <v>45</v>
      </c>
      <c r="H32" s="26">
        <f t="shared" si="1"/>
        <v>122.68605300600051</v>
      </c>
      <c r="I32" s="210">
        <v>49</v>
      </c>
      <c r="J32" s="26">
        <f t="shared" si="2"/>
        <v>119.61780378102088</v>
      </c>
      <c r="K32" s="29">
        <v>46</v>
      </c>
      <c r="L32" s="26">
        <f t="shared" si="3"/>
        <v>121.86896489717441</v>
      </c>
      <c r="M32" s="210">
        <v>12</v>
      </c>
      <c r="N32" s="26">
        <f t="shared" si="4"/>
        <v>226.04769877250192</v>
      </c>
      <c r="O32" s="29">
        <v>12</v>
      </c>
      <c r="P32" s="338">
        <f t="shared" si="5"/>
        <v>226.04769877250192</v>
      </c>
      <c r="Q32" s="336">
        <f t="shared" si="6"/>
        <v>-6857.9099635623716</v>
      </c>
    </row>
    <row r="33" spans="1:17" x14ac:dyDescent="0.25">
      <c r="A33" s="256">
        <v>116</v>
      </c>
      <c r="B33" s="16" t="s">
        <v>27</v>
      </c>
      <c r="C33" s="24">
        <v>1534</v>
      </c>
      <c r="D33" s="255">
        <v>0.4</v>
      </c>
      <c r="E33" s="250">
        <v>50</v>
      </c>
      <c r="F33" s="26">
        <f t="shared" si="0"/>
        <v>118.92744770540045</v>
      </c>
      <c r="G33" s="26">
        <v>42</v>
      </c>
      <c r="H33" s="26">
        <f t="shared" si="1"/>
        <v>125.37077107785768</v>
      </c>
      <c r="I33" s="210">
        <v>50</v>
      </c>
      <c r="J33" s="26">
        <f t="shared" si="2"/>
        <v>118.92744770540045</v>
      </c>
      <c r="K33" s="29">
        <v>45</v>
      </c>
      <c r="L33" s="26">
        <f t="shared" si="3"/>
        <v>122.68605300600051</v>
      </c>
      <c r="M33" s="210">
        <v>50</v>
      </c>
      <c r="N33" s="26">
        <f t="shared" si="4"/>
        <v>118.92744770540045</v>
      </c>
      <c r="O33" s="29">
        <v>41</v>
      </c>
      <c r="P33" s="338">
        <f t="shared" si="5"/>
        <v>126.35298500658593</v>
      </c>
      <c r="Q33" s="336">
        <f t="shared" si="6"/>
        <v>-466.05678164660281</v>
      </c>
    </row>
    <row r="34" spans="1:17" x14ac:dyDescent="0.25">
      <c r="A34" s="256">
        <v>275</v>
      </c>
      <c r="B34" s="16" t="s">
        <v>26</v>
      </c>
      <c r="C34" s="24">
        <v>36956</v>
      </c>
      <c r="D34" s="255">
        <v>0.2</v>
      </c>
      <c r="E34" s="250">
        <v>28</v>
      </c>
      <c r="F34" s="26">
        <f t="shared" si="0"/>
        <v>145.50615661678654</v>
      </c>
      <c r="G34" s="26">
        <v>30</v>
      </c>
      <c r="H34" s="26">
        <f t="shared" si="1"/>
        <v>141.47907950900077</v>
      </c>
      <c r="I34" s="210">
        <v>28</v>
      </c>
      <c r="J34" s="26">
        <f t="shared" si="2"/>
        <v>145.50615661678654</v>
      </c>
      <c r="K34" s="29">
        <v>35</v>
      </c>
      <c r="L34" s="26">
        <f t="shared" si="3"/>
        <v>133.42492529342923</v>
      </c>
      <c r="M34" s="210">
        <v>11</v>
      </c>
      <c r="N34" s="334">
        <f t="shared" si="4"/>
        <v>238.86112593363845</v>
      </c>
      <c r="O34" s="29">
        <v>29</v>
      </c>
      <c r="P34" s="338">
        <f t="shared" si="5"/>
        <v>143.42318569896631</v>
      </c>
      <c r="Q34" s="336">
        <f t="shared" si="6"/>
        <v>31591.95579183337</v>
      </c>
    </row>
    <row r="35" spans="1:17" x14ac:dyDescent="0.25">
      <c r="A35" s="256">
        <v>275</v>
      </c>
      <c r="B35" s="16" t="s">
        <v>27</v>
      </c>
      <c r="C35" s="24">
        <v>39336</v>
      </c>
      <c r="D35" s="255">
        <v>0.1</v>
      </c>
      <c r="E35" s="250">
        <v>25</v>
      </c>
      <c r="F35" s="26">
        <f t="shared" si="0"/>
        <v>152.75489541080091</v>
      </c>
      <c r="G35" s="26">
        <v>28</v>
      </c>
      <c r="H35" s="26">
        <f t="shared" si="1"/>
        <v>145.50615661678654</v>
      </c>
      <c r="I35" s="210">
        <v>30</v>
      </c>
      <c r="J35" s="26">
        <f t="shared" si="2"/>
        <v>141.47907950900077</v>
      </c>
      <c r="K35" s="29">
        <v>33</v>
      </c>
      <c r="L35" s="26">
        <f t="shared" si="3"/>
        <v>136.35370864454615</v>
      </c>
      <c r="M35" s="210">
        <v>26</v>
      </c>
      <c r="N35" s="26">
        <f t="shared" si="4"/>
        <v>150.15278404884702</v>
      </c>
      <c r="O35" s="29">
        <v>28</v>
      </c>
      <c r="P35" s="338">
        <f t="shared" si="5"/>
        <v>145.50615661678654</v>
      </c>
      <c r="Q35" s="336">
        <f t="shared" si="6"/>
        <v>3264.5204330774623</v>
      </c>
    </row>
    <row r="36" spans="1:17" x14ac:dyDescent="0.25">
      <c r="A36" s="256">
        <v>277</v>
      </c>
      <c r="B36" s="16" t="s">
        <v>26</v>
      </c>
      <c r="C36" s="24">
        <v>42416</v>
      </c>
      <c r="D36" s="255">
        <v>0.1</v>
      </c>
      <c r="E36" s="250">
        <v>23</v>
      </c>
      <c r="F36" s="26">
        <f t="shared" si="0"/>
        <v>158.63792979434882</v>
      </c>
      <c r="G36" s="26">
        <v>18</v>
      </c>
      <c r="H36" s="26">
        <f t="shared" si="1"/>
        <v>179.06513251500127</v>
      </c>
      <c r="I36" s="210">
        <v>24</v>
      </c>
      <c r="J36" s="26">
        <f t="shared" si="2"/>
        <v>155.57384938625097</v>
      </c>
      <c r="K36" s="29">
        <v>22</v>
      </c>
      <c r="L36" s="334">
        <f t="shared" si="3"/>
        <v>161.98056296681921</v>
      </c>
      <c r="M36" s="210">
        <v>14</v>
      </c>
      <c r="N36" s="334">
        <f t="shared" si="4"/>
        <v>205.91231323357306</v>
      </c>
      <c r="O36" s="29">
        <v>16</v>
      </c>
      <c r="P36" s="338">
        <f t="shared" si="5"/>
        <v>190.81077407937642</v>
      </c>
      <c r="Q36" s="336">
        <f t="shared" si="6"/>
        <v>-2769.7908331335352</v>
      </c>
    </row>
    <row r="37" spans="1:17" x14ac:dyDescent="0.25">
      <c r="A37" s="256">
        <v>277</v>
      </c>
      <c r="B37" s="16" t="s">
        <v>27</v>
      </c>
      <c r="C37" s="24">
        <v>43514</v>
      </c>
      <c r="D37" s="255">
        <v>0.2</v>
      </c>
      <c r="E37" s="250">
        <v>7</v>
      </c>
      <c r="F37" s="26">
        <f t="shared" si="0"/>
        <v>326.72462646714609</v>
      </c>
      <c r="G37" s="26">
        <v>17</v>
      </c>
      <c r="H37" s="26">
        <f t="shared" si="1"/>
        <v>184.59249325117781</v>
      </c>
      <c r="I37" s="210">
        <v>26</v>
      </c>
      <c r="J37" s="26">
        <f t="shared" si="2"/>
        <v>150.15278404884702</v>
      </c>
      <c r="K37" s="29">
        <v>26</v>
      </c>
      <c r="L37" s="26">
        <f t="shared" si="3"/>
        <v>150.15278404884702</v>
      </c>
      <c r="M37" s="210">
        <v>24</v>
      </c>
      <c r="N37" s="26">
        <f t="shared" si="4"/>
        <v>155.57384938625097</v>
      </c>
      <c r="O37" s="29">
        <v>24</v>
      </c>
      <c r="P37" s="338">
        <f t="shared" si="5"/>
        <v>155.57384938625097</v>
      </c>
      <c r="Q37" s="336">
        <f t="shared" si="6"/>
        <v>28791.877826519518</v>
      </c>
    </row>
    <row r="38" spans="1:17" x14ac:dyDescent="0.25">
      <c r="A38" s="256">
        <v>377</v>
      </c>
      <c r="B38" s="16" t="s">
        <v>26</v>
      </c>
      <c r="C38" s="24">
        <v>37776</v>
      </c>
      <c r="D38" s="255">
        <v>0.2</v>
      </c>
      <c r="E38" s="250">
        <v>25</v>
      </c>
      <c r="F38" s="26">
        <f t="shared" si="0"/>
        <v>152.75489541080091</v>
      </c>
      <c r="G38" s="26">
        <v>32</v>
      </c>
      <c r="H38" s="26">
        <f t="shared" si="1"/>
        <v>137.95538703968822</v>
      </c>
      <c r="I38" s="210">
        <v>29</v>
      </c>
      <c r="J38" s="26">
        <f t="shared" si="2"/>
        <v>143.42318569896631</v>
      </c>
      <c r="K38" s="29">
        <v>30</v>
      </c>
      <c r="L38" s="26">
        <f t="shared" si="3"/>
        <v>141.47907950900077</v>
      </c>
      <c r="M38" s="210">
        <v>7</v>
      </c>
      <c r="N38" s="26">
        <f t="shared" si="4"/>
        <v>326.72462646714609</v>
      </c>
      <c r="O38" s="29">
        <v>8</v>
      </c>
      <c r="P38" s="338">
        <f t="shared" si="5"/>
        <v>296.52154815875286</v>
      </c>
      <c r="Q38" s="336">
        <f t="shared" si="6"/>
        <v>11166.123458416321</v>
      </c>
    </row>
    <row r="39" spans="1:17" x14ac:dyDescent="0.25">
      <c r="A39" s="256">
        <v>377</v>
      </c>
      <c r="B39" s="16" t="s">
        <v>27</v>
      </c>
      <c r="C39" s="24">
        <v>38158</v>
      </c>
      <c r="D39" s="255">
        <v>0.2</v>
      </c>
      <c r="E39" s="250">
        <v>29</v>
      </c>
      <c r="F39" s="26">
        <f t="shared" si="0"/>
        <v>143.42318569896631</v>
      </c>
      <c r="G39" s="26">
        <v>34</v>
      </c>
      <c r="H39" s="26">
        <f t="shared" si="1"/>
        <v>134.84624662558889</v>
      </c>
      <c r="I39" s="210">
        <v>36</v>
      </c>
      <c r="J39" s="26">
        <f t="shared" si="2"/>
        <v>132.08256625750062</v>
      </c>
      <c r="K39" s="29">
        <v>38</v>
      </c>
      <c r="L39" s="26">
        <f t="shared" si="3"/>
        <v>129.60979961236902</v>
      </c>
      <c r="M39" s="210">
        <v>3</v>
      </c>
      <c r="N39" s="334">
        <f t="shared" si="4"/>
        <v>648.89079509000771</v>
      </c>
      <c r="O39" s="29">
        <v>4</v>
      </c>
      <c r="P39" s="338">
        <f t="shared" si="5"/>
        <v>507.94309631750571</v>
      </c>
      <c r="Q39" s="336">
        <f t="shared" si="6"/>
        <v>36810.462713456152</v>
      </c>
    </row>
    <row r="40" spans="1:17" x14ac:dyDescent="0.25">
      <c r="A40" s="256">
        <v>457</v>
      </c>
      <c r="B40" s="16" t="s">
        <v>26</v>
      </c>
      <c r="C40" s="24">
        <v>46261</v>
      </c>
      <c r="D40" s="255">
        <v>0.01</v>
      </c>
      <c r="E40" s="250">
        <v>9</v>
      </c>
      <c r="F40" s="26">
        <f t="shared" si="0"/>
        <v>273.03026503000251</v>
      </c>
      <c r="G40" s="26">
        <v>12</v>
      </c>
      <c r="H40" s="26">
        <f t="shared" si="1"/>
        <v>226.04769877250192</v>
      </c>
      <c r="I40" s="210">
        <v>4</v>
      </c>
      <c r="J40" s="26">
        <f t="shared" si="2"/>
        <v>507.94309631750571</v>
      </c>
      <c r="K40" s="29">
        <v>5</v>
      </c>
      <c r="L40" s="334">
        <f t="shared" si="3"/>
        <v>423.37447705400461</v>
      </c>
      <c r="M40" s="210">
        <v>4</v>
      </c>
      <c r="N40" s="26">
        <f t="shared" si="4"/>
        <v>507.94309631750571</v>
      </c>
      <c r="O40" s="29">
        <v>5</v>
      </c>
      <c r="P40" s="338">
        <f t="shared" si="5"/>
        <v>423.37447705400461</v>
      </c>
      <c r="Q40" s="336">
        <f t="shared" si="6"/>
        <v>5666.15548043527</v>
      </c>
    </row>
    <row r="41" spans="1:17" x14ac:dyDescent="0.25">
      <c r="A41" s="256">
        <v>457</v>
      </c>
      <c r="B41" s="16" t="s">
        <v>27</v>
      </c>
      <c r="C41" s="25">
        <v>5002</v>
      </c>
      <c r="D41" s="255">
        <v>0.1</v>
      </c>
      <c r="E41" s="250">
        <v>21</v>
      </c>
      <c r="F41" s="26">
        <f t="shared" si="0"/>
        <v>165.64154215571537</v>
      </c>
      <c r="G41" s="26">
        <v>24</v>
      </c>
      <c r="H41" s="26">
        <f t="shared" si="1"/>
        <v>155.57384938625097</v>
      </c>
      <c r="I41" s="210">
        <v>33</v>
      </c>
      <c r="J41" s="334">
        <f t="shared" si="2"/>
        <v>136.35370864454615</v>
      </c>
      <c r="K41" s="29">
        <v>33</v>
      </c>
      <c r="L41" s="26">
        <f t="shared" si="3"/>
        <v>136.35370864454615</v>
      </c>
      <c r="M41" s="210">
        <v>23</v>
      </c>
      <c r="N41" s="26">
        <f t="shared" si="4"/>
        <v>158.63792979434882</v>
      </c>
      <c r="O41" s="29">
        <v>24</v>
      </c>
      <c r="P41" s="338">
        <f t="shared" si="5"/>
        <v>155.57384938625097</v>
      </c>
      <c r="Q41" s="336">
        <f t="shared" si="6"/>
        <v>164.78398387964299</v>
      </c>
    </row>
    <row r="42" spans="1:17" x14ac:dyDescent="0.25">
      <c r="A42" s="256">
        <v>458</v>
      </c>
      <c r="B42" s="16" t="s">
        <v>26</v>
      </c>
      <c r="C42" s="25">
        <v>7889</v>
      </c>
      <c r="D42" s="255">
        <v>0.1</v>
      </c>
      <c r="E42" s="250">
        <v>37</v>
      </c>
      <c r="F42" s="26">
        <f t="shared" si="0"/>
        <v>130.81276716946007</v>
      </c>
      <c r="G42" s="26">
        <v>39</v>
      </c>
      <c r="H42" s="26">
        <f t="shared" si="1"/>
        <v>128.46852269923136</v>
      </c>
      <c r="I42" s="210">
        <v>29</v>
      </c>
      <c r="J42" s="26">
        <f t="shared" si="2"/>
        <v>143.42318569896631</v>
      </c>
      <c r="K42" s="29">
        <v>28</v>
      </c>
      <c r="L42" s="26">
        <f t="shared" si="3"/>
        <v>145.50615661678654</v>
      </c>
      <c r="M42" s="210">
        <v>26</v>
      </c>
      <c r="N42" s="26">
        <f t="shared" si="4"/>
        <v>150.15278404884702</v>
      </c>
      <c r="O42" s="29">
        <v>25</v>
      </c>
      <c r="P42" s="338">
        <f t="shared" si="5"/>
        <v>152.75489541080091</v>
      </c>
      <c r="Q42" s="336">
        <f t="shared" si="6"/>
        <v>-186.40970569482545</v>
      </c>
    </row>
    <row r="43" spans="1:17" x14ac:dyDescent="0.25">
      <c r="A43" s="256">
        <v>458</v>
      </c>
      <c r="B43" s="16" t="s">
        <v>27</v>
      </c>
      <c r="C43" s="24">
        <v>43978</v>
      </c>
      <c r="D43" s="255">
        <v>0.3</v>
      </c>
      <c r="E43" s="250">
        <v>17</v>
      </c>
      <c r="F43" s="26">
        <f t="shared" si="0"/>
        <v>184.59249325117781</v>
      </c>
      <c r="G43" s="26">
        <v>28</v>
      </c>
      <c r="H43" s="26">
        <f t="shared" si="1"/>
        <v>145.50615661678654</v>
      </c>
      <c r="I43" s="210">
        <v>28</v>
      </c>
      <c r="J43" s="26">
        <f t="shared" si="2"/>
        <v>145.50615661678654</v>
      </c>
      <c r="K43" s="29">
        <v>29</v>
      </c>
      <c r="L43" s="26">
        <f t="shared" si="3"/>
        <v>143.42318569896631</v>
      </c>
      <c r="M43" s="210">
        <v>11</v>
      </c>
      <c r="N43" s="334">
        <f t="shared" si="4"/>
        <v>238.86112593363845</v>
      </c>
      <c r="O43" s="29">
        <v>13</v>
      </c>
      <c r="P43" s="338">
        <f t="shared" si="5"/>
        <v>215.20556809769406</v>
      </c>
      <c r="Q43" s="336">
        <f t="shared" si="6"/>
        <v>24461.278335211133</v>
      </c>
    </row>
    <row r="44" spans="1:17" x14ac:dyDescent="0.25">
      <c r="A44" s="256">
        <v>530</v>
      </c>
      <c r="B44" s="16" t="s">
        <v>26</v>
      </c>
      <c r="C44" s="24">
        <v>32896</v>
      </c>
      <c r="D44" s="255">
        <v>0.2</v>
      </c>
      <c r="E44" s="250">
        <v>23</v>
      </c>
      <c r="F44" s="26">
        <f t="shared" si="0"/>
        <v>158.63792979434882</v>
      </c>
      <c r="G44" s="26">
        <v>40</v>
      </c>
      <c r="H44" s="26">
        <f t="shared" si="1"/>
        <v>127.38430963175057</v>
      </c>
      <c r="I44" s="210">
        <v>29</v>
      </c>
      <c r="J44" s="26">
        <f t="shared" si="2"/>
        <v>143.42318569896631</v>
      </c>
      <c r="K44" s="29">
        <v>38</v>
      </c>
      <c r="L44" s="26">
        <f t="shared" si="3"/>
        <v>129.60979961236902</v>
      </c>
      <c r="M44" s="210">
        <v>24</v>
      </c>
      <c r="N44" s="26">
        <f t="shared" si="4"/>
        <v>155.57384938625097</v>
      </c>
      <c r="O44" s="29">
        <v>27</v>
      </c>
      <c r="P44" s="338">
        <f t="shared" si="5"/>
        <v>147.74342167666751</v>
      </c>
      <c r="Q44" s="336">
        <f t="shared" si="6"/>
        <v>15551.816554098794</v>
      </c>
    </row>
    <row r="45" spans="1:17" x14ac:dyDescent="0.25">
      <c r="A45" s="256">
        <v>530</v>
      </c>
      <c r="B45" s="16" t="s">
        <v>27</v>
      </c>
      <c r="C45" s="24">
        <v>18872</v>
      </c>
      <c r="D45" s="255">
        <v>0.6</v>
      </c>
      <c r="E45" s="250">
        <v>38</v>
      </c>
      <c r="F45" s="26">
        <f t="shared" si="0"/>
        <v>129.60979961236902</v>
      </c>
      <c r="G45" s="26">
        <v>47</v>
      </c>
      <c r="H45" s="26">
        <f t="shared" si="1"/>
        <v>121.08664649510686</v>
      </c>
      <c r="I45" s="210">
        <v>43</v>
      </c>
      <c r="J45" s="26">
        <f t="shared" si="2"/>
        <v>124.43424151790751</v>
      </c>
      <c r="K45" s="29">
        <v>46</v>
      </c>
      <c r="L45" s="26">
        <f t="shared" si="3"/>
        <v>121.86896489717441</v>
      </c>
      <c r="M45" s="210">
        <v>2</v>
      </c>
      <c r="N45" s="334">
        <f t="shared" si="4"/>
        <v>930.7861926350115</v>
      </c>
      <c r="O45" s="29">
        <v>4</v>
      </c>
      <c r="P45" s="338">
        <f t="shared" si="5"/>
        <v>507.94309631750571</v>
      </c>
      <c r="Q45" s="336">
        <f t="shared" si="6"/>
        <v>153771.82116220536</v>
      </c>
    </row>
    <row r="46" spans="1:17" x14ac:dyDescent="0.25">
      <c r="A46" s="256">
        <v>564</v>
      </c>
      <c r="B46" s="16" t="s">
        <v>26</v>
      </c>
      <c r="C46" s="25">
        <v>2046</v>
      </c>
      <c r="D46" s="255">
        <v>0.1</v>
      </c>
      <c r="E46" s="250">
        <v>37</v>
      </c>
      <c r="F46" s="26">
        <f t="shared" si="0"/>
        <v>130.81276716946007</v>
      </c>
      <c r="G46" s="26">
        <v>37</v>
      </c>
      <c r="H46" s="26">
        <f t="shared" si="1"/>
        <v>130.81276716946007</v>
      </c>
      <c r="I46" s="210">
        <v>46</v>
      </c>
      <c r="J46" s="334">
        <f t="shared" si="2"/>
        <v>121.86896489717441</v>
      </c>
      <c r="K46" s="29">
        <v>46</v>
      </c>
      <c r="L46" s="26">
        <f t="shared" si="3"/>
        <v>121.86896489717441</v>
      </c>
      <c r="M46" s="210">
        <v>31</v>
      </c>
      <c r="N46" s="26">
        <f t="shared" si="4"/>
        <v>139.66039952483945</v>
      </c>
      <c r="O46" s="29">
        <v>21</v>
      </c>
      <c r="P46" s="338">
        <f t="shared" si="5"/>
        <v>165.64154215571537</v>
      </c>
      <c r="Q46" s="336">
        <f t="shared" si="6"/>
        <v>-164.97621159654821</v>
      </c>
    </row>
    <row r="47" spans="1:17" x14ac:dyDescent="0.25">
      <c r="A47" s="256">
        <v>564</v>
      </c>
      <c r="B47" s="16" t="s">
        <v>27</v>
      </c>
      <c r="C47" s="24">
        <v>26591</v>
      </c>
      <c r="D47" s="255">
        <v>0.01</v>
      </c>
      <c r="E47" s="250">
        <v>10</v>
      </c>
      <c r="F47" s="26">
        <f t="shared" si="0"/>
        <v>254.23723852700229</v>
      </c>
      <c r="G47" s="26">
        <v>28</v>
      </c>
      <c r="H47" s="26">
        <f t="shared" si="1"/>
        <v>145.50615661678654</v>
      </c>
      <c r="I47" s="210">
        <v>14</v>
      </c>
      <c r="J47" s="334">
        <f t="shared" si="2"/>
        <v>205.91231323357306</v>
      </c>
      <c r="K47" s="29">
        <v>32</v>
      </c>
      <c r="L47" s="334">
        <f t="shared" si="3"/>
        <v>137.95538703968822</v>
      </c>
      <c r="M47" s="210">
        <v>10</v>
      </c>
      <c r="N47" s="334">
        <f t="shared" si="4"/>
        <v>254.23723852700229</v>
      </c>
      <c r="O47" s="29">
        <v>23</v>
      </c>
      <c r="P47" s="338">
        <f t="shared" si="5"/>
        <v>158.63792979434882</v>
      </c>
      <c r="Q47" s="336">
        <f t="shared" si="6"/>
        <v>3284.6077873284589</v>
      </c>
    </row>
    <row r="48" spans="1:17" x14ac:dyDescent="0.25">
      <c r="A48" s="256">
        <v>572</v>
      </c>
      <c r="B48" s="16" t="s">
        <v>26</v>
      </c>
      <c r="C48" s="24">
        <v>48682</v>
      </c>
      <c r="D48" s="255">
        <v>0.1</v>
      </c>
      <c r="E48" s="250">
        <v>13</v>
      </c>
      <c r="F48" s="26">
        <f t="shared" si="0"/>
        <v>215.20556809769406</v>
      </c>
      <c r="G48" s="26">
        <v>16</v>
      </c>
      <c r="H48" s="26">
        <f t="shared" si="1"/>
        <v>190.81077407937642</v>
      </c>
      <c r="I48" s="210">
        <v>5</v>
      </c>
      <c r="J48" s="334">
        <f t="shared" si="2"/>
        <v>423.37447705400461</v>
      </c>
      <c r="K48" s="29">
        <v>9</v>
      </c>
      <c r="L48" s="26">
        <f t="shared" si="3"/>
        <v>273.03026503000251</v>
      </c>
      <c r="M48" s="210">
        <v>6</v>
      </c>
      <c r="N48" s="334">
        <f t="shared" si="4"/>
        <v>366.99539754500381</v>
      </c>
      <c r="O48" s="29">
        <v>8</v>
      </c>
      <c r="P48" s="338">
        <f t="shared" si="5"/>
        <v>296.52154815875286</v>
      </c>
      <c r="Q48" s="336">
        <f t="shared" si="6"/>
        <v>87235.668308642445</v>
      </c>
    </row>
    <row r="49" spans="1:17" x14ac:dyDescent="0.25">
      <c r="A49" s="256">
        <v>572</v>
      </c>
      <c r="B49" s="16" t="s">
        <v>27</v>
      </c>
      <c r="C49" s="25">
        <v>1534</v>
      </c>
      <c r="D49" s="255">
        <v>0.2</v>
      </c>
      <c r="E49" s="250">
        <v>33</v>
      </c>
      <c r="F49" s="26">
        <f t="shared" si="0"/>
        <v>136.35370864454615</v>
      </c>
      <c r="G49" s="26">
        <v>10</v>
      </c>
      <c r="H49" s="26">
        <f t="shared" si="1"/>
        <v>254.23723852700229</v>
      </c>
      <c r="I49" s="210">
        <v>42</v>
      </c>
      <c r="J49" s="26">
        <f t="shared" si="2"/>
        <v>125.37077107785768</v>
      </c>
      <c r="K49" s="29">
        <v>38</v>
      </c>
      <c r="L49" s="26">
        <f t="shared" si="3"/>
        <v>129.60979961236902</v>
      </c>
      <c r="M49" s="210">
        <v>36</v>
      </c>
      <c r="N49" s="26">
        <f t="shared" si="4"/>
        <v>132.08256625750062</v>
      </c>
      <c r="O49" s="29">
        <v>8</v>
      </c>
      <c r="P49" s="338">
        <f t="shared" si="5"/>
        <v>296.52154815875286</v>
      </c>
      <c r="Q49" s="336">
        <f t="shared" si="6"/>
        <v>-2538.746450645092</v>
      </c>
    </row>
    <row r="50" spans="1:17" x14ac:dyDescent="0.25">
      <c r="A50" s="256">
        <v>573</v>
      </c>
      <c r="B50" s="16" t="s">
        <v>26</v>
      </c>
      <c r="C50" s="25">
        <v>2056</v>
      </c>
      <c r="D50" s="255">
        <v>0.2</v>
      </c>
      <c r="E50" s="250">
        <v>30</v>
      </c>
      <c r="F50" s="26">
        <f t="shared" si="0"/>
        <v>141.47907950900077</v>
      </c>
      <c r="G50" s="26">
        <v>34</v>
      </c>
      <c r="H50" s="26">
        <f t="shared" si="1"/>
        <v>134.84624662558889</v>
      </c>
      <c r="I50" s="210">
        <v>8</v>
      </c>
      <c r="J50" s="26">
        <f t="shared" si="2"/>
        <v>296.52154815875286</v>
      </c>
      <c r="K50" s="29">
        <v>12</v>
      </c>
      <c r="L50" s="26">
        <f t="shared" si="3"/>
        <v>226.04769877250192</v>
      </c>
      <c r="M50" s="210">
        <v>5</v>
      </c>
      <c r="N50" s="334">
        <f t="shared" si="4"/>
        <v>423.37447705400461</v>
      </c>
      <c r="O50" s="29">
        <v>9</v>
      </c>
      <c r="P50" s="338">
        <f t="shared" si="5"/>
        <v>273.03026503000251</v>
      </c>
      <c r="Q50" s="336">
        <f t="shared" si="6"/>
        <v>4905.0951709321598</v>
      </c>
    </row>
    <row r="51" spans="1:17" x14ac:dyDescent="0.25">
      <c r="A51" s="256">
        <v>573</v>
      </c>
      <c r="B51" s="16" t="s">
        <v>27</v>
      </c>
      <c r="C51" s="25">
        <v>46996</v>
      </c>
      <c r="D51" s="255">
        <v>0.1</v>
      </c>
      <c r="E51" s="250">
        <v>23</v>
      </c>
      <c r="F51" s="26">
        <f t="shared" si="0"/>
        <v>158.63792979434882</v>
      </c>
      <c r="G51" s="26">
        <v>13</v>
      </c>
      <c r="H51" s="26">
        <f t="shared" si="1"/>
        <v>215.20556809769406</v>
      </c>
      <c r="I51" s="210">
        <v>36</v>
      </c>
      <c r="J51" s="26">
        <f t="shared" si="2"/>
        <v>132.08256625750062</v>
      </c>
      <c r="K51" s="29">
        <v>36</v>
      </c>
      <c r="L51" s="26">
        <f t="shared" si="3"/>
        <v>132.08256625750062</v>
      </c>
      <c r="M51" s="210">
        <v>27</v>
      </c>
      <c r="N51" s="26">
        <f t="shared" si="4"/>
        <v>147.74342167666751</v>
      </c>
      <c r="O51" s="29">
        <v>10</v>
      </c>
      <c r="P51" s="338">
        <f t="shared" si="5"/>
        <v>254.23723852700229</v>
      </c>
      <c r="Q51" s="336">
        <f t="shared" si="6"/>
        <v>-21720.511459734604</v>
      </c>
    </row>
    <row r="52" spans="1:17" x14ac:dyDescent="0.25">
      <c r="A52" s="256">
        <v>574</v>
      </c>
      <c r="B52" s="16" t="s">
        <v>26</v>
      </c>
      <c r="C52" s="25">
        <v>43926</v>
      </c>
      <c r="D52" s="255">
        <v>0.1</v>
      </c>
      <c r="E52" s="250">
        <v>43</v>
      </c>
      <c r="F52" s="26">
        <f t="shared" si="0"/>
        <v>124.43424151790751</v>
      </c>
      <c r="G52" s="26">
        <v>42</v>
      </c>
      <c r="H52" s="26">
        <f t="shared" si="1"/>
        <v>125.37077107785768</v>
      </c>
      <c r="I52" s="210">
        <v>38</v>
      </c>
      <c r="J52" s="26">
        <f t="shared" si="2"/>
        <v>129.60979961236902</v>
      </c>
      <c r="K52" s="29">
        <v>36</v>
      </c>
      <c r="L52" s="26">
        <f t="shared" si="3"/>
        <v>132.08256625750062</v>
      </c>
      <c r="M52" s="210">
        <v>32</v>
      </c>
      <c r="N52" s="334">
        <f t="shared" si="4"/>
        <v>137.95538703968822</v>
      </c>
      <c r="O52" s="29">
        <v>32</v>
      </c>
      <c r="P52" s="338">
        <f t="shared" si="5"/>
        <v>137.95538703968822</v>
      </c>
      <c r="Q52" s="336">
        <f t="shared" si="6"/>
        <v>-1191.3388890187139</v>
      </c>
    </row>
    <row r="53" spans="1:17" x14ac:dyDescent="0.25">
      <c r="A53" s="256">
        <v>574</v>
      </c>
      <c r="B53" s="16" t="s">
        <v>27</v>
      </c>
      <c r="C53" s="24">
        <v>41082</v>
      </c>
      <c r="D53" s="255">
        <v>0.7</v>
      </c>
      <c r="E53" s="250">
        <v>36</v>
      </c>
      <c r="F53" s="26">
        <f t="shared" si="0"/>
        <v>132.08256625750062</v>
      </c>
      <c r="G53" s="26">
        <v>39</v>
      </c>
      <c r="H53" s="26">
        <f t="shared" si="1"/>
        <v>128.46852269923136</v>
      </c>
      <c r="I53" s="210">
        <v>37</v>
      </c>
      <c r="J53" s="26">
        <f t="shared" si="2"/>
        <v>130.81276716946007</v>
      </c>
      <c r="K53" s="29">
        <v>40</v>
      </c>
      <c r="L53" s="26">
        <f t="shared" si="3"/>
        <v>127.38430963175057</v>
      </c>
      <c r="M53" s="210">
        <v>38</v>
      </c>
      <c r="N53" s="26">
        <f t="shared" si="4"/>
        <v>129.60979961236902</v>
      </c>
      <c r="O53" s="29">
        <v>37</v>
      </c>
      <c r="P53" s="338">
        <f t="shared" si="5"/>
        <v>130.81276716946007</v>
      </c>
      <c r="Q53" s="336">
        <f t="shared" si="6"/>
        <v>11290.141443498562</v>
      </c>
    </row>
    <row r="54" spans="1:17" x14ac:dyDescent="0.25">
      <c r="A54" s="256">
        <v>590</v>
      </c>
      <c r="B54" s="16" t="s">
        <v>26</v>
      </c>
      <c r="C54" s="25">
        <v>39661</v>
      </c>
      <c r="D54" s="255">
        <v>0.3</v>
      </c>
      <c r="E54" s="250">
        <v>44</v>
      </c>
      <c r="F54" s="26">
        <f t="shared" si="0"/>
        <v>123.54028148340961</v>
      </c>
      <c r="G54" s="26">
        <v>46</v>
      </c>
      <c r="H54" s="26">
        <f t="shared" si="1"/>
        <v>121.86896489717441</v>
      </c>
      <c r="I54" s="210">
        <v>44</v>
      </c>
      <c r="J54" s="26">
        <f t="shared" si="2"/>
        <v>123.54028148340961</v>
      </c>
      <c r="K54" s="29">
        <v>46</v>
      </c>
      <c r="L54" s="26">
        <f t="shared" si="3"/>
        <v>121.86896489717441</v>
      </c>
      <c r="M54" s="210">
        <v>44</v>
      </c>
      <c r="N54" s="26">
        <f t="shared" si="4"/>
        <v>123.54028148340961</v>
      </c>
      <c r="O54" s="29">
        <v>44</v>
      </c>
      <c r="P54" s="338">
        <f t="shared" si="5"/>
        <v>123.54028148340961</v>
      </c>
      <c r="Q54" s="336">
        <f t="shared" si="6"/>
        <v>2468.6588589785342</v>
      </c>
    </row>
    <row r="55" spans="1:17" x14ac:dyDescent="0.25">
      <c r="A55" s="256">
        <v>590</v>
      </c>
      <c r="B55" s="16" t="s">
        <v>27</v>
      </c>
      <c r="C55" s="25">
        <v>41136</v>
      </c>
      <c r="D55" s="255">
        <v>0.3</v>
      </c>
      <c r="E55" s="250">
        <v>44</v>
      </c>
      <c r="F55" s="26">
        <f t="shared" si="0"/>
        <v>123.54028148340961</v>
      </c>
      <c r="G55" s="26">
        <v>45</v>
      </c>
      <c r="H55" s="26">
        <f t="shared" si="1"/>
        <v>122.68605300600051</v>
      </c>
      <c r="I55" s="210">
        <v>45</v>
      </c>
      <c r="J55" s="26">
        <f t="shared" si="2"/>
        <v>122.68605300600051</v>
      </c>
      <c r="K55" s="29">
        <v>45</v>
      </c>
      <c r="L55" s="26">
        <f t="shared" si="3"/>
        <v>122.68605300600051</v>
      </c>
      <c r="M55" s="210">
        <v>46</v>
      </c>
      <c r="N55" s="26">
        <f t="shared" si="4"/>
        <v>121.86896489717441</v>
      </c>
      <c r="O55" s="29">
        <v>46</v>
      </c>
      <c r="P55" s="338">
        <f t="shared" si="5"/>
        <v>121.86896489717441</v>
      </c>
      <c r="Q55" s="336">
        <f t="shared" si="6"/>
        <v>245.37825455397524</v>
      </c>
    </row>
    <row r="56" spans="1:17" x14ac:dyDescent="0.25">
      <c r="A56" s="256">
        <v>591</v>
      </c>
      <c r="B56" s="16" t="s">
        <v>26</v>
      </c>
      <c r="C56" s="25">
        <v>39661</v>
      </c>
      <c r="D56" s="255">
        <v>0.3</v>
      </c>
      <c r="E56" s="250">
        <v>44</v>
      </c>
      <c r="F56" s="26">
        <f t="shared" si="0"/>
        <v>123.54028148340961</v>
      </c>
      <c r="G56" s="26">
        <v>45</v>
      </c>
      <c r="H56" s="26">
        <f t="shared" si="1"/>
        <v>122.68605300600051</v>
      </c>
      <c r="I56" s="210">
        <v>42</v>
      </c>
      <c r="J56" s="26">
        <f t="shared" si="2"/>
        <v>125.37077107785768</v>
      </c>
      <c r="K56" s="29">
        <v>44</v>
      </c>
      <c r="L56" s="26">
        <f t="shared" si="3"/>
        <v>123.54028148340961</v>
      </c>
      <c r="M56" s="210">
        <v>30</v>
      </c>
      <c r="N56" s="334">
        <f t="shared" si="4"/>
        <v>141.47907950900077</v>
      </c>
      <c r="O56" s="29">
        <v>38</v>
      </c>
      <c r="P56" s="338">
        <f t="shared" si="5"/>
        <v>129.60979961236902</v>
      </c>
      <c r="Q56" s="336">
        <f t="shared" si="6"/>
        <v>6816.3445236507241</v>
      </c>
    </row>
    <row r="57" spans="1:17" x14ac:dyDescent="0.25">
      <c r="A57" s="256">
        <v>591</v>
      </c>
      <c r="B57" s="16" t="s">
        <v>27</v>
      </c>
      <c r="C57" s="25">
        <v>41136</v>
      </c>
      <c r="D57" s="255">
        <v>0.1</v>
      </c>
      <c r="E57" s="250">
        <v>41</v>
      </c>
      <c r="F57" s="26">
        <f t="shared" si="0"/>
        <v>126.35298500658593</v>
      </c>
      <c r="G57" s="26">
        <v>43</v>
      </c>
      <c r="H57" s="26">
        <f t="shared" si="1"/>
        <v>124.43424151790751</v>
      </c>
      <c r="I57" s="210">
        <v>41</v>
      </c>
      <c r="J57" s="26">
        <f t="shared" si="2"/>
        <v>126.35298500658593</v>
      </c>
      <c r="K57" s="29">
        <v>44</v>
      </c>
      <c r="L57" s="26">
        <f t="shared" si="3"/>
        <v>123.54028148340961</v>
      </c>
      <c r="M57" s="210">
        <v>43</v>
      </c>
      <c r="N57" s="26">
        <f t="shared" si="4"/>
        <v>124.43424151790751</v>
      </c>
      <c r="O57" s="29">
        <v>45</v>
      </c>
      <c r="P57" s="338">
        <f t="shared" si="5"/>
        <v>122.68605300600051</v>
      </c>
      <c r="Q57" s="336">
        <f t="shared" si="6"/>
        <v>1573.9498716669657</v>
      </c>
    </row>
    <row r="58" spans="1:17" x14ac:dyDescent="0.25">
      <c r="A58" s="256">
        <v>594</v>
      </c>
      <c r="B58" s="16" t="s">
        <v>26</v>
      </c>
      <c r="C58" s="25">
        <v>16451</v>
      </c>
      <c r="D58" s="255">
        <v>0.6</v>
      </c>
      <c r="E58" s="250">
        <v>43</v>
      </c>
      <c r="F58" s="26">
        <f t="shared" si="0"/>
        <v>124.43424151790751</v>
      </c>
      <c r="G58" s="26">
        <v>45</v>
      </c>
      <c r="H58" s="26">
        <f t="shared" si="1"/>
        <v>122.68605300600051</v>
      </c>
      <c r="I58" s="210">
        <v>49</v>
      </c>
      <c r="J58" s="26">
        <f t="shared" si="2"/>
        <v>119.61780378102088</v>
      </c>
      <c r="K58" s="29">
        <v>51</v>
      </c>
      <c r="L58" s="26">
        <f t="shared" si="3"/>
        <v>118.26416441705926</v>
      </c>
      <c r="M58" s="210">
        <v>44</v>
      </c>
      <c r="N58" s="26">
        <f t="shared" si="4"/>
        <v>123.54028148340961</v>
      </c>
      <c r="O58" s="29">
        <v>48</v>
      </c>
      <c r="P58" s="338">
        <f t="shared" si="5"/>
        <v>120.33692469312547</v>
      </c>
      <c r="Q58" s="336">
        <f t="shared" si="6"/>
        <v>2730.644480451489</v>
      </c>
    </row>
    <row r="59" spans="1:17" x14ac:dyDescent="0.25">
      <c r="A59" s="256">
        <v>594</v>
      </c>
      <c r="B59" s="16" t="s">
        <v>27</v>
      </c>
      <c r="C59" s="25">
        <v>20089</v>
      </c>
      <c r="D59" s="255">
        <v>0.9</v>
      </c>
      <c r="E59" s="250">
        <v>44</v>
      </c>
      <c r="F59" s="26">
        <f t="shared" si="0"/>
        <v>123.54028148340961</v>
      </c>
      <c r="G59" s="26">
        <v>47</v>
      </c>
      <c r="H59" s="26">
        <f t="shared" si="1"/>
        <v>121.08664649510686</v>
      </c>
      <c r="I59" s="210">
        <v>46</v>
      </c>
      <c r="J59" s="334">
        <f t="shared" si="2"/>
        <v>121.86896489717441</v>
      </c>
      <c r="K59" s="29">
        <v>48</v>
      </c>
      <c r="L59" s="26">
        <f t="shared" si="3"/>
        <v>120.33692469312547</v>
      </c>
      <c r="M59" s="210">
        <v>11</v>
      </c>
      <c r="N59" s="334">
        <f t="shared" si="4"/>
        <v>238.86112593363845</v>
      </c>
      <c r="O59" s="29">
        <v>45</v>
      </c>
      <c r="P59" s="338">
        <f t="shared" si="5"/>
        <v>122.68605300600051</v>
      </c>
      <c r="Q59" s="336">
        <f t="shared" si="6"/>
        <v>69015.036472634267</v>
      </c>
    </row>
    <row r="60" spans="1:17" x14ac:dyDescent="0.25">
      <c r="A60" s="256">
        <v>722</v>
      </c>
      <c r="B60" s="16" t="s">
        <v>26</v>
      </c>
      <c r="C60" s="25">
        <v>39059</v>
      </c>
      <c r="D60" s="255">
        <v>0.7</v>
      </c>
      <c r="E60" s="250">
        <v>38</v>
      </c>
      <c r="F60" s="26">
        <f t="shared" si="0"/>
        <v>129.60979961236902</v>
      </c>
      <c r="G60" s="26">
        <v>47</v>
      </c>
      <c r="H60" s="26">
        <f t="shared" si="1"/>
        <v>121.08664649510686</v>
      </c>
      <c r="I60" s="210">
        <v>34</v>
      </c>
      <c r="J60" s="26">
        <f t="shared" si="2"/>
        <v>134.84624662558889</v>
      </c>
      <c r="K60" s="29">
        <v>40</v>
      </c>
      <c r="L60" s="26">
        <f t="shared" si="3"/>
        <v>127.38430963175057</v>
      </c>
      <c r="M60" s="210">
        <v>33</v>
      </c>
      <c r="N60" s="26">
        <f t="shared" si="4"/>
        <v>136.35370864454615</v>
      </c>
      <c r="O60" s="29">
        <v>41</v>
      </c>
      <c r="P60" s="338">
        <f t="shared" si="5"/>
        <v>126.35298500658593</v>
      </c>
      <c r="Q60" s="336">
        <f t="shared" si="6"/>
        <v>34488.726074163838</v>
      </c>
    </row>
    <row r="61" spans="1:17" x14ac:dyDescent="0.25">
      <c r="A61" s="256">
        <v>722</v>
      </c>
      <c r="B61" s="16" t="s">
        <v>27</v>
      </c>
      <c r="C61" s="25">
        <v>43514</v>
      </c>
      <c r="D61" s="255">
        <v>0.1</v>
      </c>
      <c r="E61" s="250">
        <v>25</v>
      </c>
      <c r="F61" s="26">
        <f t="shared" si="0"/>
        <v>152.75489541080091</v>
      </c>
      <c r="G61" s="26">
        <v>30</v>
      </c>
      <c r="H61" s="26">
        <f t="shared" si="1"/>
        <v>141.47907950900077</v>
      </c>
      <c r="I61" s="210">
        <v>37</v>
      </c>
      <c r="J61" s="26">
        <f t="shared" si="2"/>
        <v>130.81276716946007</v>
      </c>
      <c r="K61" s="29">
        <v>37</v>
      </c>
      <c r="L61" s="26">
        <f t="shared" si="3"/>
        <v>130.81276716946007</v>
      </c>
      <c r="M61" s="210">
        <v>37</v>
      </c>
      <c r="N61" s="26">
        <f t="shared" si="4"/>
        <v>130.81276716946007</v>
      </c>
      <c r="O61" s="29">
        <v>37</v>
      </c>
      <c r="P61" s="338">
        <f t="shared" si="5"/>
        <v>130.81276716946007</v>
      </c>
      <c r="Q61" s="336">
        <f t="shared" si="6"/>
        <v>1142.0778204519402</v>
      </c>
    </row>
    <row r="62" spans="1:17" x14ac:dyDescent="0.25">
      <c r="A62" s="256">
        <v>723</v>
      </c>
      <c r="B62" s="16" t="s">
        <v>26</v>
      </c>
      <c r="C62" s="24">
        <v>42416</v>
      </c>
      <c r="D62" s="255">
        <v>0.2</v>
      </c>
      <c r="E62" s="250">
        <v>39</v>
      </c>
      <c r="F62" s="26">
        <f t="shared" si="0"/>
        <v>128.46852269923136</v>
      </c>
      <c r="G62" s="26">
        <v>35</v>
      </c>
      <c r="H62" s="26">
        <f t="shared" si="1"/>
        <v>133.42492529342923</v>
      </c>
      <c r="I62" s="210">
        <v>40</v>
      </c>
      <c r="J62" s="26">
        <f t="shared" si="2"/>
        <v>127.38430963175057</v>
      </c>
      <c r="K62" s="29">
        <v>37</v>
      </c>
      <c r="L62" s="26">
        <f t="shared" si="3"/>
        <v>130.81276716946007</v>
      </c>
      <c r="M62" s="210">
        <v>25</v>
      </c>
      <c r="N62" s="26">
        <f t="shared" si="4"/>
        <v>152.75489541080091</v>
      </c>
      <c r="O62" s="29">
        <v>29</v>
      </c>
      <c r="P62" s="338">
        <f t="shared" si="5"/>
        <v>143.42318569896631</v>
      </c>
      <c r="Q62" s="336">
        <f t="shared" si="6"/>
        <v>-1455.43031001036</v>
      </c>
    </row>
    <row r="63" spans="1:17" x14ac:dyDescent="0.25">
      <c r="A63" s="256">
        <v>723</v>
      </c>
      <c r="B63" s="16" t="s">
        <v>27</v>
      </c>
      <c r="C63" s="25">
        <v>38607</v>
      </c>
      <c r="D63" s="255">
        <v>0.7</v>
      </c>
      <c r="E63" s="250">
        <v>15</v>
      </c>
      <c r="F63" s="26">
        <f t="shared" si="0"/>
        <v>197.85815901800152</v>
      </c>
      <c r="G63" s="26">
        <v>38</v>
      </c>
      <c r="H63" s="26">
        <f t="shared" si="1"/>
        <v>129.60979961236902</v>
      </c>
      <c r="I63" s="210">
        <v>38</v>
      </c>
      <c r="J63" s="26">
        <f t="shared" si="2"/>
        <v>129.60979961236902</v>
      </c>
      <c r="K63" s="29">
        <v>43</v>
      </c>
      <c r="L63" s="26">
        <f t="shared" si="3"/>
        <v>124.43424151790751</v>
      </c>
      <c r="M63" s="210">
        <v>39</v>
      </c>
      <c r="N63" s="26">
        <f t="shared" si="4"/>
        <v>128.46852269923136</v>
      </c>
      <c r="O63" s="29">
        <v>37</v>
      </c>
      <c r="P63" s="338">
        <f t="shared" si="5"/>
        <v>130.81276716946007</v>
      </c>
      <c r="Q63" s="336">
        <f t="shared" si="6"/>
        <v>55073.103083688409</v>
      </c>
    </row>
    <row r="64" spans="1:17" x14ac:dyDescent="0.25">
      <c r="A64" s="256">
        <v>724</v>
      </c>
      <c r="B64" s="16" t="s">
        <v>26</v>
      </c>
      <c r="C64" s="25">
        <v>35067</v>
      </c>
      <c r="D64" s="255">
        <v>0.7</v>
      </c>
      <c r="E64" s="250">
        <v>48</v>
      </c>
      <c r="F64" s="26">
        <f t="shared" si="0"/>
        <v>120.33692469312547</v>
      </c>
      <c r="G64" s="26">
        <v>51</v>
      </c>
      <c r="H64" s="26">
        <f t="shared" si="1"/>
        <v>118.26416441705926</v>
      </c>
      <c r="I64" s="210">
        <v>41</v>
      </c>
      <c r="J64" s="26">
        <f t="shared" si="2"/>
        <v>126.35298500658593</v>
      </c>
      <c r="K64" s="29">
        <v>46</v>
      </c>
      <c r="L64" s="26">
        <f t="shared" si="3"/>
        <v>121.86896489717441</v>
      </c>
      <c r="M64" s="210">
        <v>21</v>
      </c>
      <c r="N64" s="334">
        <f t="shared" si="4"/>
        <v>165.64154215571537</v>
      </c>
      <c r="O64" s="29">
        <v>43</v>
      </c>
      <c r="P64" s="338">
        <f t="shared" si="5"/>
        <v>124.43424151790751</v>
      </c>
      <c r="Q64" s="336">
        <f t="shared" si="6"/>
        <v>43679.075437678919</v>
      </c>
    </row>
    <row r="65" spans="1:17" x14ac:dyDescent="0.25">
      <c r="A65" s="256">
        <v>724</v>
      </c>
      <c r="B65" s="16" t="s">
        <v>27</v>
      </c>
      <c r="C65" s="24">
        <v>39336</v>
      </c>
      <c r="D65" s="255">
        <v>0.2</v>
      </c>
      <c r="E65" s="250">
        <v>39</v>
      </c>
      <c r="F65" s="26">
        <f t="shared" si="0"/>
        <v>128.46852269923136</v>
      </c>
      <c r="G65" s="26">
        <v>37</v>
      </c>
      <c r="H65" s="26">
        <f t="shared" si="1"/>
        <v>130.81276716946007</v>
      </c>
      <c r="I65" s="210">
        <v>45</v>
      </c>
      <c r="J65" s="26">
        <f t="shared" si="2"/>
        <v>122.68605300600051</v>
      </c>
      <c r="K65" s="29">
        <v>43</v>
      </c>
      <c r="L65" s="26">
        <f t="shared" si="3"/>
        <v>124.43424151790751</v>
      </c>
      <c r="M65" s="210">
        <v>42</v>
      </c>
      <c r="N65" s="26">
        <f t="shared" si="4"/>
        <v>125.37077107785768</v>
      </c>
      <c r="O65" s="29">
        <v>42</v>
      </c>
      <c r="P65" s="338">
        <f t="shared" si="5"/>
        <v>125.37077107785768</v>
      </c>
      <c r="Q65" s="336">
        <f t="shared" si="6"/>
        <v>-1816.513665053486</v>
      </c>
    </row>
    <row r="66" spans="1:17" x14ac:dyDescent="0.25">
      <c r="A66" s="256">
        <v>725</v>
      </c>
      <c r="B66" s="16" t="s">
        <v>26</v>
      </c>
      <c r="C66" s="24">
        <v>36956</v>
      </c>
      <c r="D66" s="255">
        <v>0.1</v>
      </c>
      <c r="E66" s="250">
        <v>39</v>
      </c>
      <c r="F66" s="26">
        <f t="shared" si="0"/>
        <v>128.46852269923136</v>
      </c>
      <c r="G66" s="26">
        <v>42</v>
      </c>
      <c r="H66" s="26">
        <f t="shared" si="1"/>
        <v>125.37077107785768</v>
      </c>
      <c r="I66" s="210">
        <v>38</v>
      </c>
      <c r="J66" s="26">
        <f t="shared" si="2"/>
        <v>129.60979961236902</v>
      </c>
      <c r="K66" s="29">
        <v>42</v>
      </c>
      <c r="L66" s="26">
        <f t="shared" si="3"/>
        <v>125.37077107785768</v>
      </c>
      <c r="M66" s="210">
        <v>16</v>
      </c>
      <c r="N66" s="26">
        <f t="shared" si="4"/>
        <v>190.81077407937642</v>
      </c>
      <c r="O66" s="29">
        <v>38</v>
      </c>
      <c r="P66" s="338">
        <f t="shared" si="5"/>
        <v>129.60979961236902</v>
      </c>
      <c r="Q66" s="336">
        <f t="shared" si="6"/>
        <v>8866.0108045659308</v>
      </c>
    </row>
    <row r="67" spans="1:17" x14ac:dyDescent="0.25">
      <c r="A67" s="256">
        <v>725</v>
      </c>
      <c r="B67" s="16" t="s">
        <v>27</v>
      </c>
      <c r="C67" s="25">
        <v>36706</v>
      </c>
      <c r="D67" s="255">
        <v>0.7</v>
      </c>
      <c r="E67" s="250">
        <v>36</v>
      </c>
      <c r="F67" s="26">
        <f t="shared" si="0"/>
        <v>132.08256625750062</v>
      </c>
      <c r="G67" s="26">
        <v>43</v>
      </c>
      <c r="H67" s="26">
        <f t="shared" si="1"/>
        <v>124.43424151790751</v>
      </c>
      <c r="I67" s="210">
        <v>40</v>
      </c>
      <c r="J67" s="26">
        <f t="shared" si="2"/>
        <v>127.38430963175057</v>
      </c>
      <c r="K67" s="29">
        <v>46</v>
      </c>
      <c r="L67" s="26">
        <f t="shared" si="3"/>
        <v>121.86896489717441</v>
      </c>
      <c r="M67" s="210">
        <v>39</v>
      </c>
      <c r="N67" s="26">
        <f t="shared" si="4"/>
        <v>128.46852269923136</v>
      </c>
      <c r="O67" s="29">
        <v>41</v>
      </c>
      <c r="P67" s="338">
        <f t="shared" si="5"/>
        <v>126.35298500658593</v>
      </c>
      <c r="Q67" s="336">
        <f t="shared" si="6"/>
        <v>20555.074375069049</v>
      </c>
    </row>
    <row r="68" spans="1:17" x14ac:dyDescent="0.25">
      <c r="A68" s="256">
        <v>726</v>
      </c>
      <c r="B68" s="16" t="s">
        <v>26</v>
      </c>
      <c r="C68" s="25">
        <v>33868</v>
      </c>
      <c r="D68" s="255">
        <v>0.7</v>
      </c>
      <c r="E68" s="250">
        <v>47</v>
      </c>
      <c r="F68" s="26">
        <f t="shared" si="0"/>
        <v>121.08664649510686</v>
      </c>
      <c r="G68" s="26">
        <v>48</v>
      </c>
      <c r="H68" s="26">
        <f t="shared" si="1"/>
        <v>120.33692469312547</v>
      </c>
      <c r="I68" s="210">
        <v>42</v>
      </c>
      <c r="J68" s="26">
        <f t="shared" si="2"/>
        <v>125.37077107785768</v>
      </c>
      <c r="K68" s="29">
        <v>43</v>
      </c>
      <c r="L68" s="26">
        <f t="shared" si="3"/>
        <v>124.43424151790751</v>
      </c>
      <c r="M68" s="210">
        <v>8</v>
      </c>
      <c r="N68" s="334">
        <f t="shared" si="4"/>
        <v>296.52154815875286</v>
      </c>
      <c r="O68" s="29">
        <v>10</v>
      </c>
      <c r="P68" s="338">
        <f t="shared" si="5"/>
        <v>254.23723852700229</v>
      </c>
      <c r="Q68" s="336">
        <f t="shared" si="6"/>
        <v>33764.952780733453</v>
      </c>
    </row>
    <row r="69" spans="1:17" x14ac:dyDescent="0.25">
      <c r="A69" s="256">
        <v>726</v>
      </c>
      <c r="B69" s="16" t="s">
        <v>27</v>
      </c>
      <c r="C69" s="24">
        <v>38158</v>
      </c>
      <c r="D69" s="255">
        <v>0.2</v>
      </c>
      <c r="E69" s="250">
        <v>36</v>
      </c>
      <c r="F69" s="26">
        <f t="shared" si="0"/>
        <v>132.08256625750062</v>
      </c>
      <c r="G69" s="26">
        <v>43</v>
      </c>
      <c r="H69" s="26">
        <f t="shared" si="1"/>
        <v>124.43424151790751</v>
      </c>
      <c r="I69" s="210">
        <v>42</v>
      </c>
      <c r="J69" s="26">
        <f t="shared" si="2"/>
        <v>125.37077107785768</v>
      </c>
      <c r="K69" s="29">
        <v>44</v>
      </c>
      <c r="L69" s="26">
        <f t="shared" si="3"/>
        <v>123.54028148340961</v>
      </c>
      <c r="M69" s="210">
        <v>29</v>
      </c>
      <c r="N69" s="334">
        <f t="shared" si="4"/>
        <v>143.42318569896631</v>
      </c>
      <c r="O69" s="29">
        <v>38</v>
      </c>
      <c r="P69" s="338">
        <f t="shared" si="5"/>
        <v>129.60979961236902</v>
      </c>
      <c r="Q69" s="336">
        <f t="shared" si="6"/>
        <v>6039.3673034875628</v>
      </c>
    </row>
    <row r="70" spans="1:17" x14ac:dyDescent="0.25">
      <c r="A70" s="256">
        <v>741</v>
      </c>
      <c r="B70" s="16" t="s">
        <v>26</v>
      </c>
      <c r="C70" s="24">
        <v>37776</v>
      </c>
      <c r="D70" s="255">
        <v>0.2</v>
      </c>
      <c r="E70" s="250">
        <v>37</v>
      </c>
      <c r="F70" s="26">
        <f t="shared" si="0"/>
        <v>130.81276716946007</v>
      </c>
      <c r="G70" s="26">
        <v>41</v>
      </c>
      <c r="H70" s="26">
        <f t="shared" si="1"/>
        <v>126.35298500658593</v>
      </c>
      <c r="I70" s="210">
        <v>42</v>
      </c>
      <c r="J70" s="26">
        <f t="shared" si="2"/>
        <v>125.37077107785768</v>
      </c>
      <c r="K70" s="29">
        <v>43</v>
      </c>
      <c r="L70" s="26">
        <f t="shared" si="3"/>
        <v>124.43424151790751</v>
      </c>
      <c r="M70" s="210">
        <v>17</v>
      </c>
      <c r="N70" s="26">
        <f t="shared" si="4"/>
        <v>184.59249325117781</v>
      </c>
      <c r="O70" s="29">
        <v>14</v>
      </c>
      <c r="P70" s="338">
        <f t="shared" si="5"/>
        <v>205.91231323357306</v>
      </c>
      <c r="Q70" s="336">
        <f t="shared" si="6"/>
        <v>-3501.0631150555027</v>
      </c>
    </row>
    <row r="71" spans="1:17" x14ac:dyDescent="0.25">
      <c r="A71" s="256">
        <v>741</v>
      </c>
      <c r="B71" s="16" t="s">
        <v>27</v>
      </c>
      <c r="C71" s="25">
        <v>35033</v>
      </c>
      <c r="D71" s="255">
        <v>0.2</v>
      </c>
      <c r="E71" s="250">
        <v>29</v>
      </c>
      <c r="F71" s="26">
        <f t="shared" ref="F71:F91" si="7">(2722/(E71*1.609344))+85.1</f>
        <v>143.42318569896631</v>
      </c>
      <c r="G71" s="26">
        <v>36</v>
      </c>
      <c r="H71" s="26">
        <f t="shared" ref="H71:H91" si="8">(2722/(G71*1.609344))+85.1</f>
        <v>132.08256625750062</v>
      </c>
      <c r="I71" s="210">
        <v>31</v>
      </c>
      <c r="J71" s="26">
        <f t="shared" ref="J71:J91" si="9">(2722/(I71*1.609344))+85.1</f>
        <v>139.66039952483945</v>
      </c>
      <c r="K71" s="29">
        <v>37</v>
      </c>
      <c r="L71" s="26">
        <f t="shared" ref="L71:L91" si="10">(2722/(K71*1.609344))+85.1</f>
        <v>130.81276716946007</v>
      </c>
      <c r="M71" s="210">
        <v>2</v>
      </c>
      <c r="N71" s="334">
        <f t="shared" ref="N71:N91" si="11">(2722/(M71*1.609344))+85.1</f>
        <v>930.7861926350115</v>
      </c>
      <c r="O71" s="29">
        <v>2</v>
      </c>
      <c r="P71" s="338">
        <f t="shared" ref="P71:P91" si="12">(2722/(O71*1.609344))+85.1</f>
        <v>930.7861926350115</v>
      </c>
      <c r="Q71" s="336">
        <f t="shared" ref="Q71:Q91" si="13">((C71*D71*1.60934*0.15)*(F71-H71)+(C71*D71*1.60934*0.65)*(J71-L71)+(C71*D71*1.60934*0.2)*(N71-P71))*0.000264172*365</f>
        <v>8102.3457038898905</v>
      </c>
    </row>
    <row r="72" spans="1:17" x14ac:dyDescent="0.25">
      <c r="A72" s="256">
        <v>782</v>
      </c>
      <c r="B72" s="16" t="s">
        <v>26</v>
      </c>
      <c r="C72" s="25">
        <v>42273</v>
      </c>
      <c r="D72" s="255">
        <v>0.4</v>
      </c>
      <c r="E72" s="250">
        <v>37</v>
      </c>
      <c r="F72" s="26">
        <f t="shared" si="7"/>
        <v>130.81276716946007</v>
      </c>
      <c r="G72" s="26">
        <v>42</v>
      </c>
      <c r="H72" s="26">
        <f t="shared" si="8"/>
        <v>125.37077107785768</v>
      </c>
      <c r="I72" s="210">
        <v>35</v>
      </c>
      <c r="J72" s="26">
        <f t="shared" si="9"/>
        <v>133.42492529342923</v>
      </c>
      <c r="K72" s="29">
        <v>40</v>
      </c>
      <c r="L72" s="26">
        <f t="shared" si="10"/>
        <v>127.38430963175057</v>
      </c>
      <c r="M72" s="210">
        <v>31</v>
      </c>
      <c r="N72" s="26">
        <f t="shared" si="11"/>
        <v>139.66039952483945</v>
      </c>
      <c r="O72" s="29">
        <v>39</v>
      </c>
      <c r="P72" s="338">
        <f t="shared" si="12"/>
        <v>128.46852269923136</v>
      </c>
      <c r="Q72" s="336">
        <f t="shared" si="13"/>
        <v>18317.779065302009</v>
      </c>
    </row>
    <row r="73" spans="1:17" x14ac:dyDescent="0.25">
      <c r="A73" s="256">
        <v>782</v>
      </c>
      <c r="B73" s="16" t="s">
        <v>27</v>
      </c>
      <c r="C73" s="24">
        <v>43958</v>
      </c>
      <c r="D73" s="255">
        <v>0.1</v>
      </c>
      <c r="E73" s="250">
        <v>35</v>
      </c>
      <c r="F73" s="26">
        <f t="shared" si="7"/>
        <v>133.42492529342923</v>
      </c>
      <c r="G73" s="26">
        <v>30</v>
      </c>
      <c r="H73" s="26">
        <f t="shared" si="8"/>
        <v>141.47907950900077</v>
      </c>
      <c r="I73" s="210">
        <v>38</v>
      </c>
      <c r="J73" s="26">
        <f t="shared" si="9"/>
        <v>129.60979961236902</v>
      </c>
      <c r="K73" s="29">
        <v>37</v>
      </c>
      <c r="L73" s="26">
        <f t="shared" si="10"/>
        <v>130.81276716946007</v>
      </c>
      <c r="M73" s="210">
        <v>37</v>
      </c>
      <c r="N73" s="26">
        <f t="shared" si="11"/>
        <v>130.81276716946007</v>
      </c>
      <c r="O73" s="29">
        <v>29</v>
      </c>
      <c r="P73" s="338">
        <f t="shared" si="12"/>
        <v>143.42318569896631</v>
      </c>
      <c r="Q73" s="336">
        <f t="shared" si="13"/>
        <v>-3077.850607580649</v>
      </c>
    </row>
    <row r="74" spans="1:17" x14ac:dyDescent="0.25">
      <c r="A74" s="256">
        <v>783</v>
      </c>
      <c r="B74" s="16" t="s">
        <v>26</v>
      </c>
      <c r="C74" s="24">
        <v>48682</v>
      </c>
      <c r="D74" s="255">
        <v>0.1</v>
      </c>
      <c r="E74" s="250">
        <v>42</v>
      </c>
      <c r="F74" s="26">
        <f t="shared" si="7"/>
        <v>125.37077107785768</v>
      </c>
      <c r="G74" s="26">
        <v>40</v>
      </c>
      <c r="H74" s="26">
        <f t="shared" si="8"/>
        <v>127.38430963175057</v>
      </c>
      <c r="I74" s="210">
        <v>43</v>
      </c>
      <c r="J74" s="26">
        <f t="shared" si="9"/>
        <v>124.43424151790751</v>
      </c>
      <c r="K74" s="29">
        <v>42</v>
      </c>
      <c r="L74" s="26">
        <f t="shared" si="10"/>
        <v>125.37077107785768</v>
      </c>
      <c r="M74" s="210">
        <v>36</v>
      </c>
      <c r="N74" s="26">
        <f t="shared" si="11"/>
        <v>132.08256625750062</v>
      </c>
      <c r="O74" s="29">
        <v>32</v>
      </c>
      <c r="P74" s="338">
        <f t="shared" si="12"/>
        <v>137.95538703968822</v>
      </c>
      <c r="Q74" s="336">
        <f t="shared" si="13"/>
        <v>-1575.3337007299845</v>
      </c>
    </row>
    <row r="75" spans="1:17" x14ac:dyDescent="0.25">
      <c r="A75" s="256">
        <v>783</v>
      </c>
      <c r="B75" s="16" t="s">
        <v>27</v>
      </c>
      <c r="C75" s="25">
        <v>41835</v>
      </c>
      <c r="D75" s="255">
        <v>0.4</v>
      </c>
      <c r="E75" s="250">
        <v>36</v>
      </c>
      <c r="F75" s="26">
        <f t="shared" si="7"/>
        <v>132.08256625750062</v>
      </c>
      <c r="G75" s="26">
        <v>42</v>
      </c>
      <c r="H75" s="26">
        <f t="shared" si="8"/>
        <v>125.37077107785768</v>
      </c>
      <c r="I75" s="210">
        <v>42</v>
      </c>
      <c r="J75" s="26">
        <f t="shared" si="9"/>
        <v>125.37077107785768</v>
      </c>
      <c r="K75" s="29">
        <v>42</v>
      </c>
      <c r="L75" s="26">
        <f t="shared" si="10"/>
        <v>125.37077107785768</v>
      </c>
      <c r="M75" s="210">
        <v>24</v>
      </c>
      <c r="N75" s="26">
        <f t="shared" si="11"/>
        <v>155.57384938625097</v>
      </c>
      <c r="O75" s="29">
        <v>30</v>
      </c>
      <c r="P75" s="338">
        <f t="shared" si="12"/>
        <v>141.47907950900077</v>
      </c>
      <c r="Q75" s="336">
        <f t="shared" si="13"/>
        <v>9934.3800326280543</v>
      </c>
    </row>
    <row r="76" spans="1:17" x14ac:dyDescent="0.25">
      <c r="A76" s="256">
        <v>786</v>
      </c>
      <c r="B76" s="16" t="s">
        <v>26</v>
      </c>
      <c r="C76" s="25">
        <v>17037</v>
      </c>
      <c r="D76" s="255">
        <v>0.1</v>
      </c>
      <c r="E76" s="250">
        <v>16</v>
      </c>
      <c r="F76" s="26">
        <f t="shared" si="7"/>
        <v>190.81077407937642</v>
      </c>
      <c r="G76" s="26">
        <v>37</v>
      </c>
      <c r="H76" s="26">
        <f t="shared" si="8"/>
        <v>130.81276716946007</v>
      </c>
      <c r="I76" s="210">
        <v>13</v>
      </c>
      <c r="J76" s="26">
        <f t="shared" si="9"/>
        <v>215.20556809769406</v>
      </c>
      <c r="K76" s="29">
        <v>36</v>
      </c>
      <c r="L76" s="26">
        <f t="shared" si="10"/>
        <v>132.08256625750062</v>
      </c>
      <c r="M76" s="210">
        <v>6</v>
      </c>
      <c r="N76" s="334">
        <f t="shared" si="11"/>
        <v>366.99539754500381</v>
      </c>
      <c r="O76" s="29">
        <v>22</v>
      </c>
      <c r="P76" s="338">
        <f t="shared" si="12"/>
        <v>161.98056296681921</v>
      </c>
      <c r="Q76" s="336">
        <f t="shared" si="13"/>
        <v>27503.63591498719</v>
      </c>
    </row>
    <row r="77" spans="1:17" x14ac:dyDescent="0.25">
      <c r="A77" s="256">
        <v>786</v>
      </c>
      <c r="B77" s="16" t="s">
        <v>27</v>
      </c>
      <c r="C77" s="24">
        <v>14202</v>
      </c>
      <c r="D77" s="255">
        <v>0.1</v>
      </c>
      <c r="E77" s="250">
        <v>41</v>
      </c>
      <c r="F77" s="26">
        <f t="shared" si="7"/>
        <v>126.35298500658593</v>
      </c>
      <c r="G77" s="26">
        <v>39</v>
      </c>
      <c r="H77" s="26">
        <f t="shared" si="8"/>
        <v>128.46852269923136</v>
      </c>
      <c r="I77" s="210">
        <v>45</v>
      </c>
      <c r="J77" s="26">
        <f t="shared" si="9"/>
        <v>122.68605300600051</v>
      </c>
      <c r="K77" s="29">
        <v>44</v>
      </c>
      <c r="L77" s="26">
        <f t="shared" si="10"/>
        <v>123.54028148340961</v>
      </c>
      <c r="M77" s="210">
        <v>44</v>
      </c>
      <c r="N77" s="26">
        <f t="shared" si="11"/>
        <v>123.54028148340961</v>
      </c>
      <c r="O77" s="29">
        <v>44</v>
      </c>
      <c r="P77" s="338">
        <f t="shared" si="12"/>
        <v>123.54028148340961</v>
      </c>
      <c r="Q77" s="336">
        <f t="shared" si="13"/>
        <v>-192.30111449454284</v>
      </c>
    </row>
    <row r="78" spans="1:17" x14ac:dyDescent="0.25">
      <c r="A78" s="256">
        <v>832</v>
      </c>
      <c r="B78" s="16" t="s">
        <v>26</v>
      </c>
      <c r="C78" s="25">
        <v>16451</v>
      </c>
      <c r="D78" s="255">
        <v>0.9</v>
      </c>
      <c r="E78" s="250">
        <v>49</v>
      </c>
      <c r="F78" s="26">
        <f t="shared" si="7"/>
        <v>119.61780378102088</v>
      </c>
      <c r="G78" s="26">
        <v>51</v>
      </c>
      <c r="H78" s="26">
        <f t="shared" si="8"/>
        <v>118.26416441705926</v>
      </c>
      <c r="I78" s="210">
        <v>50</v>
      </c>
      <c r="J78" s="26">
        <f t="shared" si="9"/>
        <v>118.92744770540045</v>
      </c>
      <c r="K78" s="29">
        <v>51</v>
      </c>
      <c r="L78" s="26">
        <f t="shared" si="10"/>
        <v>118.26416441705926</v>
      </c>
      <c r="M78" s="210">
        <v>40</v>
      </c>
      <c r="N78" s="26">
        <f t="shared" si="11"/>
        <v>127.38430963175057</v>
      </c>
      <c r="O78" s="29">
        <v>48</v>
      </c>
      <c r="P78" s="338">
        <f t="shared" si="12"/>
        <v>120.33692469312547</v>
      </c>
      <c r="Q78" s="336">
        <f t="shared" si="13"/>
        <v>4695.3749611738813</v>
      </c>
    </row>
    <row r="79" spans="1:17" x14ac:dyDescent="0.25">
      <c r="A79" s="256">
        <v>832</v>
      </c>
      <c r="B79" s="16" t="s">
        <v>27</v>
      </c>
      <c r="C79" s="25">
        <v>15451</v>
      </c>
      <c r="D79" s="255">
        <v>0.1</v>
      </c>
      <c r="E79" s="250">
        <v>22</v>
      </c>
      <c r="F79" s="26">
        <f t="shared" si="7"/>
        <v>161.98056296681921</v>
      </c>
      <c r="G79" s="26">
        <v>38</v>
      </c>
      <c r="H79" s="26">
        <f t="shared" si="8"/>
        <v>129.60979961236902</v>
      </c>
      <c r="I79" s="210">
        <v>19</v>
      </c>
      <c r="J79" s="334">
        <f t="shared" si="9"/>
        <v>174.11959922473804</v>
      </c>
      <c r="K79" s="29">
        <v>28</v>
      </c>
      <c r="L79" s="26">
        <f t="shared" si="10"/>
        <v>145.50615661678654</v>
      </c>
      <c r="M79" s="210">
        <v>17</v>
      </c>
      <c r="N79" s="26">
        <f t="shared" si="11"/>
        <v>184.59249325117781</v>
      </c>
      <c r="O79" s="29">
        <v>22</v>
      </c>
      <c r="P79" s="338">
        <f t="shared" si="12"/>
        <v>161.98056296681921</v>
      </c>
      <c r="Q79" s="336">
        <f t="shared" si="13"/>
        <v>6707.815776268144</v>
      </c>
    </row>
    <row r="80" spans="1:17" x14ac:dyDescent="0.25">
      <c r="A80" s="256">
        <v>922</v>
      </c>
      <c r="B80" s="16" t="s">
        <v>26</v>
      </c>
      <c r="C80" s="25">
        <v>44086</v>
      </c>
      <c r="D80" s="255">
        <v>0.3</v>
      </c>
      <c r="E80" s="250">
        <v>46</v>
      </c>
      <c r="F80" s="26">
        <f t="shared" si="7"/>
        <v>121.86896489717441</v>
      </c>
      <c r="G80" s="26">
        <v>47</v>
      </c>
      <c r="H80" s="26">
        <f t="shared" si="8"/>
        <v>121.08664649510686</v>
      </c>
      <c r="I80" s="210">
        <v>42</v>
      </c>
      <c r="J80" s="26">
        <f t="shared" si="9"/>
        <v>125.37077107785768</v>
      </c>
      <c r="K80" s="29">
        <v>43</v>
      </c>
      <c r="L80" s="26">
        <f t="shared" si="10"/>
        <v>124.43424151790751</v>
      </c>
      <c r="M80" s="210">
        <v>31</v>
      </c>
      <c r="N80" s="26">
        <f t="shared" si="11"/>
        <v>139.66039952483945</v>
      </c>
      <c r="O80" s="29">
        <v>31</v>
      </c>
      <c r="P80" s="338">
        <f t="shared" si="12"/>
        <v>139.66039952483945</v>
      </c>
      <c r="Q80" s="336">
        <f t="shared" si="13"/>
        <v>1490.1879312993431</v>
      </c>
    </row>
    <row r="81" spans="1:17" x14ac:dyDescent="0.25">
      <c r="A81" s="256">
        <v>922</v>
      </c>
      <c r="B81" s="16" t="s">
        <v>27</v>
      </c>
      <c r="C81" s="25">
        <v>42484</v>
      </c>
      <c r="D81" s="255">
        <v>0.1</v>
      </c>
      <c r="E81" s="250">
        <v>42</v>
      </c>
      <c r="F81" s="26">
        <f t="shared" si="7"/>
        <v>125.37077107785768</v>
      </c>
      <c r="G81" s="26">
        <v>43</v>
      </c>
      <c r="H81" s="26">
        <f t="shared" si="8"/>
        <v>124.43424151790751</v>
      </c>
      <c r="I81" s="210">
        <v>38</v>
      </c>
      <c r="J81" s="26">
        <f t="shared" si="9"/>
        <v>129.60979961236902</v>
      </c>
      <c r="K81" s="29">
        <v>37</v>
      </c>
      <c r="L81" s="26">
        <f t="shared" si="10"/>
        <v>130.81276716946007</v>
      </c>
      <c r="M81" s="210">
        <v>30</v>
      </c>
      <c r="N81" s="334">
        <f t="shared" si="11"/>
        <v>141.47907950900077</v>
      </c>
      <c r="O81" s="29">
        <v>32</v>
      </c>
      <c r="P81" s="338">
        <f t="shared" si="12"/>
        <v>137.95538703968822</v>
      </c>
      <c r="Q81" s="336">
        <f t="shared" si="13"/>
        <v>41.723544570637401</v>
      </c>
    </row>
    <row r="82" spans="1:17" x14ac:dyDescent="0.25">
      <c r="A82" s="256">
        <v>923</v>
      </c>
      <c r="B82" s="16" t="s">
        <v>26</v>
      </c>
      <c r="C82" s="25">
        <v>44086</v>
      </c>
      <c r="D82" s="255">
        <v>0.1</v>
      </c>
      <c r="E82" s="250">
        <v>43</v>
      </c>
      <c r="F82" s="26">
        <f t="shared" si="7"/>
        <v>124.43424151790751</v>
      </c>
      <c r="G82" s="26">
        <v>44</v>
      </c>
      <c r="H82" s="26">
        <f t="shared" si="8"/>
        <v>123.54028148340961</v>
      </c>
      <c r="I82" s="210">
        <v>42</v>
      </c>
      <c r="J82" s="26">
        <f t="shared" si="9"/>
        <v>125.37077107785768</v>
      </c>
      <c r="K82" s="29">
        <v>42</v>
      </c>
      <c r="L82" s="26">
        <f t="shared" si="10"/>
        <v>125.37077107785768</v>
      </c>
      <c r="M82" s="210">
        <v>34</v>
      </c>
      <c r="N82" s="26">
        <f t="shared" si="11"/>
        <v>134.84624662558889</v>
      </c>
      <c r="O82" s="29">
        <v>34</v>
      </c>
      <c r="P82" s="338">
        <f t="shared" si="12"/>
        <v>134.84624662558889</v>
      </c>
      <c r="Q82" s="336">
        <f t="shared" si="13"/>
        <v>91.735517101523939</v>
      </c>
    </row>
    <row r="83" spans="1:17" x14ac:dyDescent="0.25">
      <c r="A83" s="256">
        <v>923</v>
      </c>
      <c r="B83" s="16" t="s">
        <v>27</v>
      </c>
      <c r="C83" s="25">
        <v>42484</v>
      </c>
      <c r="D83" s="255">
        <v>0.4</v>
      </c>
      <c r="E83" s="250">
        <v>43</v>
      </c>
      <c r="F83" s="26">
        <f t="shared" si="7"/>
        <v>124.43424151790751</v>
      </c>
      <c r="G83" s="26">
        <v>43</v>
      </c>
      <c r="H83" s="26">
        <f t="shared" si="8"/>
        <v>124.43424151790751</v>
      </c>
      <c r="I83" s="210">
        <v>44</v>
      </c>
      <c r="J83" s="26">
        <f t="shared" si="9"/>
        <v>123.54028148340961</v>
      </c>
      <c r="K83" s="29">
        <v>44</v>
      </c>
      <c r="L83" s="26">
        <f t="shared" si="10"/>
        <v>123.54028148340961</v>
      </c>
      <c r="M83" s="210">
        <v>30</v>
      </c>
      <c r="N83" s="334">
        <f t="shared" si="11"/>
        <v>141.47907950900077</v>
      </c>
      <c r="O83" s="29">
        <v>33</v>
      </c>
      <c r="P83" s="338">
        <f t="shared" si="12"/>
        <v>136.35370864454615</v>
      </c>
      <c r="Q83" s="336">
        <f t="shared" si="13"/>
        <v>2703.1374994090565</v>
      </c>
    </row>
    <row r="84" spans="1:17" x14ac:dyDescent="0.25">
      <c r="A84" s="256">
        <v>977</v>
      </c>
      <c r="B84" s="16" t="s">
        <v>26</v>
      </c>
      <c r="C84" s="25">
        <v>48127</v>
      </c>
      <c r="D84" s="255">
        <v>0.1</v>
      </c>
      <c r="E84" s="250">
        <v>34</v>
      </c>
      <c r="F84" s="26">
        <f t="shared" si="7"/>
        <v>134.84624662558889</v>
      </c>
      <c r="G84" s="26">
        <v>39</v>
      </c>
      <c r="H84" s="26">
        <f t="shared" si="8"/>
        <v>128.46852269923136</v>
      </c>
      <c r="I84" s="210">
        <v>7</v>
      </c>
      <c r="J84" s="26">
        <f t="shared" si="9"/>
        <v>326.72462646714609</v>
      </c>
      <c r="K84" s="29">
        <v>9</v>
      </c>
      <c r="L84" s="26">
        <f t="shared" si="10"/>
        <v>273.03026503000251</v>
      </c>
      <c r="M84" s="210">
        <v>4</v>
      </c>
      <c r="N84" s="26">
        <f t="shared" si="11"/>
        <v>507.94309631750571</v>
      </c>
      <c r="O84" s="29">
        <v>5</v>
      </c>
      <c r="P84" s="338">
        <f t="shared" si="12"/>
        <v>423.37447705400461</v>
      </c>
      <c r="Q84" s="336">
        <f t="shared" si="13"/>
        <v>39411.001667294564</v>
      </c>
    </row>
    <row r="85" spans="1:17" x14ac:dyDescent="0.25">
      <c r="A85" s="256">
        <v>977</v>
      </c>
      <c r="B85" s="16" t="s">
        <v>27</v>
      </c>
      <c r="C85" s="25">
        <v>46715</v>
      </c>
      <c r="D85" s="255">
        <v>0.2</v>
      </c>
      <c r="E85" s="250">
        <v>32</v>
      </c>
      <c r="F85" s="26">
        <f t="shared" si="7"/>
        <v>137.95538703968822</v>
      </c>
      <c r="G85" s="26">
        <v>23</v>
      </c>
      <c r="H85" s="26">
        <f t="shared" si="8"/>
        <v>158.63792979434882</v>
      </c>
      <c r="I85" s="210">
        <v>42</v>
      </c>
      <c r="J85" s="26">
        <f t="shared" si="9"/>
        <v>125.37077107785768</v>
      </c>
      <c r="K85" s="29">
        <v>42</v>
      </c>
      <c r="L85" s="26">
        <f t="shared" si="10"/>
        <v>125.37077107785768</v>
      </c>
      <c r="M85" s="210">
        <v>32</v>
      </c>
      <c r="N85" s="334">
        <f t="shared" si="11"/>
        <v>137.95538703968822</v>
      </c>
      <c r="O85" s="29">
        <v>22</v>
      </c>
      <c r="P85" s="338">
        <f t="shared" si="12"/>
        <v>161.98056296681921</v>
      </c>
      <c r="Q85" s="336">
        <f t="shared" si="13"/>
        <v>-11464.323256534886</v>
      </c>
    </row>
    <row r="86" spans="1:17" x14ac:dyDescent="0.25">
      <c r="A86" s="256">
        <v>978</v>
      </c>
      <c r="B86" s="16" t="s">
        <v>26</v>
      </c>
      <c r="C86" s="25">
        <v>2156</v>
      </c>
      <c r="D86" s="255">
        <v>0.2</v>
      </c>
      <c r="E86" s="250">
        <v>20</v>
      </c>
      <c r="F86" s="26">
        <f t="shared" si="7"/>
        <v>169.66861926350114</v>
      </c>
      <c r="G86" s="26">
        <v>35</v>
      </c>
      <c r="H86" s="26">
        <f t="shared" si="8"/>
        <v>133.42492529342923</v>
      </c>
      <c r="I86" s="210">
        <v>6</v>
      </c>
      <c r="J86" s="334">
        <f t="shared" si="9"/>
        <v>366.99539754500381</v>
      </c>
      <c r="K86" s="29">
        <v>9</v>
      </c>
      <c r="L86" s="26">
        <f t="shared" si="10"/>
        <v>273.03026503000251</v>
      </c>
      <c r="M86" s="210">
        <v>5</v>
      </c>
      <c r="N86" s="334">
        <f t="shared" si="11"/>
        <v>423.37447705400461</v>
      </c>
      <c r="O86" s="29">
        <v>7</v>
      </c>
      <c r="P86" s="338">
        <f t="shared" si="12"/>
        <v>326.72462646714609</v>
      </c>
      <c r="Q86" s="336">
        <f t="shared" si="13"/>
        <v>5744.0134205373788</v>
      </c>
    </row>
    <row r="87" spans="1:17" x14ac:dyDescent="0.25">
      <c r="A87" s="256">
        <v>978</v>
      </c>
      <c r="B87" s="16" t="s">
        <v>27</v>
      </c>
      <c r="C87" s="25">
        <v>46715</v>
      </c>
      <c r="D87" s="255">
        <v>0.01</v>
      </c>
      <c r="E87" s="250">
        <v>22</v>
      </c>
      <c r="F87" s="26">
        <f t="shared" si="7"/>
        <v>161.98056296681921</v>
      </c>
      <c r="G87" s="26">
        <v>24</v>
      </c>
      <c r="H87" s="26">
        <f t="shared" si="8"/>
        <v>155.57384938625097</v>
      </c>
      <c r="I87" s="210">
        <v>30</v>
      </c>
      <c r="J87" s="26">
        <f t="shared" si="9"/>
        <v>141.47907950900077</v>
      </c>
      <c r="K87" s="29">
        <v>31</v>
      </c>
      <c r="L87" s="26">
        <f t="shared" si="10"/>
        <v>139.66039952483945</v>
      </c>
      <c r="M87" s="210">
        <v>14</v>
      </c>
      <c r="N87" s="334">
        <f t="shared" si="11"/>
        <v>205.91231323357306</v>
      </c>
      <c r="O87" s="29">
        <v>14</v>
      </c>
      <c r="P87" s="338">
        <f t="shared" si="12"/>
        <v>205.91231323357306</v>
      </c>
      <c r="Q87" s="336">
        <f t="shared" si="13"/>
        <v>155.35891478337729</v>
      </c>
    </row>
    <row r="88" spans="1:17" x14ac:dyDescent="0.25">
      <c r="A88" s="256">
        <v>2091</v>
      </c>
      <c r="B88" s="16" t="s">
        <v>26</v>
      </c>
      <c r="C88" s="24">
        <v>18401</v>
      </c>
      <c r="D88" s="255">
        <v>0.01</v>
      </c>
      <c r="E88" s="250">
        <v>26</v>
      </c>
      <c r="F88" s="26">
        <f t="shared" si="7"/>
        <v>150.15278404884702</v>
      </c>
      <c r="G88" s="26">
        <v>18</v>
      </c>
      <c r="H88" s="26">
        <f t="shared" si="8"/>
        <v>179.06513251500127</v>
      </c>
      <c r="I88" s="210">
        <v>25</v>
      </c>
      <c r="J88" s="334">
        <f t="shared" si="9"/>
        <v>152.75489541080091</v>
      </c>
      <c r="K88" s="29">
        <v>20</v>
      </c>
      <c r="L88" s="26">
        <f t="shared" si="10"/>
        <v>169.66861926350114</v>
      </c>
      <c r="M88" s="210">
        <v>23</v>
      </c>
      <c r="N88" s="26">
        <f t="shared" si="11"/>
        <v>158.63792979434882</v>
      </c>
      <c r="O88" s="29">
        <v>18</v>
      </c>
      <c r="P88" s="338">
        <f t="shared" si="12"/>
        <v>179.06513251500127</v>
      </c>
      <c r="Q88" s="336">
        <f t="shared" si="13"/>
        <v>-554.41301192473406</v>
      </c>
    </row>
    <row r="89" spans="1:17" x14ac:dyDescent="0.25">
      <c r="A89" s="256">
        <v>2091</v>
      </c>
      <c r="B89" s="16" t="s">
        <v>27</v>
      </c>
      <c r="C89" s="24">
        <v>14202</v>
      </c>
      <c r="D89" s="255">
        <v>0.1</v>
      </c>
      <c r="E89" s="250">
        <v>13</v>
      </c>
      <c r="F89" s="26">
        <f t="shared" si="7"/>
        <v>215.20556809769406</v>
      </c>
      <c r="G89" s="26">
        <v>7</v>
      </c>
      <c r="H89" s="26">
        <f t="shared" si="8"/>
        <v>326.72462646714609</v>
      </c>
      <c r="I89" s="210">
        <v>19</v>
      </c>
      <c r="J89" s="334">
        <f t="shared" si="9"/>
        <v>174.11959922473804</v>
      </c>
      <c r="K89" s="29">
        <v>9</v>
      </c>
      <c r="L89" s="26">
        <f t="shared" si="10"/>
        <v>273.03026503000251</v>
      </c>
      <c r="M89" s="210">
        <v>14</v>
      </c>
      <c r="N89" s="334">
        <f t="shared" si="11"/>
        <v>205.91231323357306</v>
      </c>
      <c r="O89" s="29">
        <v>11</v>
      </c>
      <c r="P89" s="338">
        <f t="shared" si="12"/>
        <v>238.86112593363845</v>
      </c>
      <c r="Q89" s="336">
        <f t="shared" si="13"/>
        <v>-19307.606207868255</v>
      </c>
    </row>
    <row r="90" spans="1:17" x14ac:dyDescent="0.25">
      <c r="A90" s="256">
        <v>2092</v>
      </c>
      <c r="B90" s="16" t="s">
        <v>26</v>
      </c>
      <c r="C90" s="24">
        <v>18401</v>
      </c>
      <c r="D90" s="255">
        <v>0.1</v>
      </c>
      <c r="E90" s="250">
        <v>13</v>
      </c>
      <c r="F90" s="26">
        <f t="shared" si="7"/>
        <v>215.20556809769406</v>
      </c>
      <c r="G90" s="26">
        <v>7</v>
      </c>
      <c r="H90" s="26">
        <f t="shared" si="8"/>
        <v>326.72462646714609</v>
      </c>
      <c r="I90" s="210">
        <v>23</v>
      </c>
      <c r="J90" s="26">
        <f t="shared" si="9"/>
        <v>158.63792979434882</v>
      </c>
      <c r="K90" s="29">
        <v>10</v>
      </c>
      <c r="L90" s="334">
        <f t="shared" si="10"/>
        <v>254.23723852700229</v>
      </c>
      <c r="M90" s="210">
        <v>18</v>
      </c>
      <c r="N90" s="26">
        <f t="shared" si="11"/>
        <v>179.06513251500127</v>
      </c>
      <c r="O90" s="29">
        <v>10</v>
      </c>
      <c r="P90" s="338">
        <f t="shared" si="12"/>
        <v>254.23723852700229</v>
      </c>
      <c r="Q90" s="336">
        <f t="shared" si="13"/>
        <v>-26812.847538080394</v>
      </c>
    </row>
    <row r="91" spans="1:17" ht="15.75" thickBot="1" x14ac:dyDescent="0.3">
      <c r="A91" s="257">
        <v>2092</v>
      </c>
      <c r="B91" s="258" t="s">
        <v>27</v>
      </c>
      <c r="C91" s="259">
        <v>14202</v>
      </c>
      <c r="D91" s="260">
        <v>0.01</v>
      </c>
      <c r="E91" s="251">
        <v>21</v>
      </c>
      <c r="F91" s="252">
        <f t="shared" si="7"/>
        <v>165.64154215571537</v>
      </c>
      <c r="G91" s="252">
        <v>10</v>
      </c>
      <c r="H91" s="252">
        <f t="shared" si="8"/>
        <v>254.23723852700229</v>
      </c>
      <c r="I91" s="244">
        <v>24</v>
      </c>
      <c r="J91" s="252">
        <f t="shared" si="9"/>
        <v>155.57384938625097</v>
      </c>
      <c r="K91" s="246">
        <v>14</v>
      </c>
      <c r="L91" s="335">
        <f t="shared" si="10"/>
        <v>205.91231323357306</v>
      </c>
      <c r="M91" s="244">
        <v>22</v>
      </c>
      <c r="N91" s="252">
        <f t="shared" si="11"/>
        <v>161.98056296681921</v>
      </c>
      <c r="O91" s="246">
        <v>20</v>
      </c>
      <c r="P91" s="339">
        <f t="shared" si="12"/>
        <v>169.66861926350114</v>
      </c>
      <c r="Q91" s="337">
        <f t="shared" si="13"/>
        <v>-1047.8516060695811</v>
      </c>
    </row>
    <row r="94" spans="1:17" x14ac:dyDescent="0.25">
      <c r="A94" s="21" t="s">
        <v>1</v>
      </c>
    </row>
    <row r="95" spans="1:17" x14ac:dyDescent="0.25">
      <c r="A95" s="2" t="s">
        <v>70</v>
      </c>
    </row>
    <row r="96" spans="1:17" x14ac:dyDescent="0.25">
      <c r="A96" s="2" t="s">
        <v>74</v>
      </c>
    </row>
    <row r="97" spans="1:3" x14ac:dyDescent="0.25">
      <c r="A97" s="2" t="s">
        <v>293</v>
      </c>
    </row>
    <row r="98" spans="1:3" x14ac:dyDescent="0.25">
      <c r="A98" s="340" t="s">
        <v>304</v>
      </c>
    </row>
    <row r="100" spans="1:3" x14ac:dyDescent="0.25">
      <c r="A100" s="21" t="s">
        <v>38</v>
      </c>
    </row>
    <row r="101" spans="1:3" x14ac:dyDescent="0.25">
      <c r="A101" s="2" t="s">
        <v>294</v>
      </c>
    </row>
    <row r="102" spans="1:3" x14ac:dyDescent="0.25">
      <c r="A102" s="125" t="s">
        <v>485</v>
      </c>
    </row>
    <row r="103" spans="1:3" x14ac:dyDescent="0.25">
      <c r="A103" s="2" t="s">
        <v>295</v>
      </c>
    </row>
    <row r="104" spans="1:3" x14ac:dyDescent="0.25">
      <c r="A104" s="2" t="s">
        <v>474</v>
      </c>
    </row>
    <row r="108" spans="1:3" x14ac:dyDescent="0.25">
      <c r="A108" t="s">
        <v>57</v>
      </c>
      <c r="C108" s="22" t="s">
        <v>296</v>
      </c>
    </row>
    <row r="109" spans="1:3" x14ac:dyDescent="0.25">
      <c r="C109" s="22" t="s">
        <v>297</v>
      </c>
    </row>
    <row r="110" spans="1:3" ht="18" x14ac:dyDescent="0.35">
      <c r="C110" s="22" t="s">
        <v>298</v>
      </c>
    </row>
    <row r="111" spans="1:3" ht="18" x14ac:dyDescent="0.35">
      <c r="C111" s="22" t="s">
        <v>299</v>
      </c>
    </row>
    <row r="112" spans="1:3" x14ac:dyDescent="0.25">
      <c r="A112" s="2" t="s">
        <v>38</v>
      </c>
      <c r="B112" s="2" t="s">
        <v>412</v>
      </c>
      <c r="C112" s="2"/>
    </row>
    <row r="113" spans="2:2" x14ac:dyDescent="0.25">
      <c r="B113" s="2" t="s">
        <v>303</v>
      </c>
    </row>
    <row r="114" spans="2:2" x14ac:dyDescent="0.25">
      <c r="B114" s="2" t="s">
        <v>302</v>
      </c>
    </row>
  </sheetData>
  <mergeCells count="24">
    <mergeCell ref="A1:Q1"/>
    <mergeCell ref="D3:D5"/>
    <mergeCell ref="A3:A5"/>
    <mergeCell ref="B3:B5"/>
    <mergeCell ref="C3:C5"/>
    <mergeCell ref="G3:H3"/>
    <mergeCell ref="H4:H5"/>
    <mergeCell ref="O4:O5"/>
    <mergeCell ref="F4:F5"/>
    <mergeCell ref="E3:F3"/>
    <mergeCell ref="Q3:Q5"/>
    <mergeCell ref="K3:L3"/>
    <mergeCell ref="M3:N3"/>
    <mergeCell ref="O3:P3"/>
    <mergeCell ref="L4:L5"/>
    <mergeCell ref="N4:N5"/>
    <mergeCell ref="P4:P5"/>
    <mergeCell ref="I3:J3"/>
    <mergeCell ref="J4:J5"/>
    <mergeCell ref="E4:E5"/>
    <mergeCell ref="G4:G5"/>
    <mergeCell ref="I4:I5"/>
    <mergeCell ref="K4:K5"/>
    <mergeCell ref="M4:M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499984740745262"/>
  </sheetPr>
  <dimension ref="A1:B9"/>
  <sheetViews>
    <sheetView workbookViewId="0">
      <selection activeCell="J37" sqref="J37"/>
    </sheetView>
  </sheetViews>
  <sheetFormatPr defaultRowHeight="15" x14ac:dyDescent="0.25"/>
  <cols>
    <col min="1" max="2" width="25" customWidth="1"/>
  </cols>
  <sheetData>
    <row r="1" spans="1:2" x14ac:dyDescent="0.25">
      <c r="A1" s="478" t="s">
        <v>267</v>
      </c>
      <c r="B1" s="478"/>
    </row>
    <row r="2" spans="1:2" x14ac:dyDescent="0.25">
      <c r="A2" s="233"/>
      <c r="B2" s="233"/>
    </row>
    <row r="3" spans="1:2" x14ac:dyDescent="0.25">
      <c r="A3" s="110" t="s">
        <v>266</v>
      </c>
      <c r="B3" s="110" t="s">
        <v>268</v>
      </c>
    </row>
    <row r="4" spans="1:2" x14ac:dyDescent="0.25">
      <c r="A4" s="8">
        <v>2016</v>
      </c>
      <c r="B4" s="283">
        <v>2.25</v>
      </c>
    </row>
    <row r="5" spans="1:2" x14ac:dyDescent="0.25">
      <c r="A5" s="38"/>
      <c r="B5" s="39"/>
    </row>
    <row r="6" spans="1:2" x14ac:dyDescent="0.25">
      <c r="A6" s="38" t="s">
        <v>1</v>
      </c>
      <c r="B6" s="39"/>
    </row>
    <row r="7" spans="1:2" x14ac:dyDescent="0.25">
      <c r="A7" s="284" t="s">
        <v>270</v>
      </c>
      <c r="B7" s="39"/>
    </row>
    <row r="8" spans="1:2" x14ac:dyDescent="0.25">
      <c r="A8" s="32" t="s">
        <v>269</v>
      </c>
      <c r="B8" s="2"/>
    </row>
    <row r="9" spans="1:2" x14ac:dyDescent="0.25">
      <c r="A9" s="37"/>
      <c r="B9" s="37"/>
    </row>
  </sheetData>
  <mergeCells count="1">
    <mergeCell ref="A1:B1"/>
  </mergeCells>
  <hyperlinks>
    <hyperlink ref="A8"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92"/>
  <sheetViews>
    <sheetView zoomScale="90" zoomScaleNormal="90" workbookViewId="0">
      <selection activeCell="G31" sqref="G31"/>
    </sheetView>
  </sheetViews>
  <sheetFormatPr defaultRowHeight="15" x14ac:dyDescent="0.25"/>
  <cols>
    <col min="1" max="1" width="22.28515625" bestFit="1" customWidth="1"/>
    <col min="2" max="2" width="13.42578125" bestFit="1" customWidth="1"/>
    <col min="3" max="3" width="14.28515625" customWidth="1"/>
    <col min="4" max="7" width="14.42578125" customWidth="1"/>
    <col min="8" max="8" width="19" customWidth="1"/>
    <col min="9" max="9" width="13.5703125" customWidth="1"/>
    <col min="10" max="10" width="15.28515625" customWidth="1"/>
    <col min="11" max="11" width="15.5703125" customWidth="1"/>
    <col min="12" max="12" width="19.5703125" customWidth="1"/>
    <col min="13" max="13" width="15.7109375" customWidth="1"/>
    <col min="14" max="14" width="14.140625" customWidth="1"/>
    <col min="15" max="15" width="18.5703125" customWidth="1"/>
    <col min="16" max="21" width="18.85546875" customWidth="1"/>
    <col min="22" max="25" width="16.140625" customWidth="1"/>
    <col min="26" max="26" width="20.42578125" customWidth="1"/>
    <col min="27" max="28" width="15.85546875" customWidth="1"/>
    <col min="29" max="29" width="22" customWidth="1"/>
    <col min="30" max="30" width="16.140625" customWidth="1"/>
    <col min="31" max="36" width="9.28515625" customWidth="1"/>
  </cols>
  <sheetData>
    <row r="1" spans="1:36" x14ac:dyDescent="0.25">
      <c r="A1" s="478" t="s">
        <v>305</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row>
    <row r="2" spans="1:36" ht="15.75" thickBot="1" x14ac:dyDescent="0.3"/>
    <row r="3" spans="1:36" ht="18" customHeight="1" x14ac:dyDescent="0.25">
      <c r="A3" s="525" t="s">
        <v>0</v>
      </c>
      <c r="B3" s="559" t="s">
        <v>7</v>
      </c>
      <c r="C3" s="608" t="s">
        <v>333</v>
      </c>
      <c r="D3" s="578" t="s">
        <v>308</v>
      </c>
      <c r="E3" s="614"/>
      <c r="F3" s="614"/>
      <c r="G3" s="614"/>
      <c r="H3" s="595"/>
      <c r="I3" s="615" t="s">
        <v>321</v>
      </c>
      <c r="J3" s="616"/>
      <c r="K3" s="616"/>
      <c r="L3" s="616"/>
      <c r="M3" s="616"/>
      <c r="N3" s="616"/>
      <c r="O3" s="616"/>
      <c r="P3" s="617" t="s">
        <v>309</v>
      </c>
      <c r="Q3" s="618"/>
      <c r="R3" s="618"/>
      <c r="S3" s="618"/>
      <c r="T3" s="618"/>
      <c r="U3" s="618"/>
      <c r="V3" s="618"/>
      <c r="W3" s="618"/>
      <c r="X3" s="618"/>
      <c r="Y3" s="618"/>
      <c r="Z3" s="619"/>
      <c r="AA3" s="610" t="s">
        <v>390</v>
      </c>
      <c r="AB3" s="611"/>
      <c r="AC3" s="612"/>
      <c r="AD3" s="574" t="s">
        <v>402</v>
      </c>
    </row>
    <row r="4" spans="1:36" ht="60" customHeight="1" x14ac:dyDescent="0.25">
      <c r="A4" s="526"/>
      <c r="B4" s="483"/>
      <c r="C4" s="609"/>
      <c r="D4" s="320" t="s">
        <v>342</v>
      </c>
      <c r="E4" s="372" t="s">
        <v>341</v>
      </c>
      <c r="F4" s="372" t="s">
        <v>40</v>
      </c>
      <c r="G4" s="372" t="s">
        <v>41</v>
      </c>
      <c r="H4" s="321" t="s">
        <v>364</v>
      </c>
      <c r="I4" s="317" t="s">
        <v>343</v>
      </c>
      <c r="J4" s="268" t="s">
        <v>355</v>
      </c>
      <c r="K4" s="268" t="s">
        <v>356</v>
      </c>
      <c r="L4" s="268" t="s">
        <v>357</v>
      </c>
      <c r="M4" s="268" t="s">
        <v>358</v>
      </c>
      <c r="N4" s="268" t="s">
        <v>359</v>
      </c>
      <c r="O4" s="314" t="s">
        <v>363</v>
      </c>
      <c r="P4" s="389" t="s">
        <v>378</v>
      </c>
      <c r="Q4" s="269" t="s">
        <v>380</v>
      </c>
      <c r="R4" s="269" t="s">
        <v>381</v>
      </c>
      <c r="S4" s="269" t="s">
        <v>382</v>
      </c>
      <c r="T4" s="269" t="s">
        <v>383</v>
      </c>
      <c r="U4" s="269" t="s">
        <v>248</v>
      </c>
      <c r="V4" s="269" t="s">
        <v>379</v>
      </c>
      <c r="W4" s="269" t="s">
        <v>250</v>
      </c>
      <c r="X4" s="269" t="s">
        <v>251</v>
      </c>
      <c r="Y4" s="269" t="s">
        <v>278</v>
      </c>
      <c r="Z4" s="323" t="s">
        <v>376</v>
      </c>
      <c r="AA4" s="411" t="s">
        <v>393</v>
      </c>
      <c r="AB4" s="417" t="s">
        <v>401</v>
      </c>
      <c r="AC4" s="412" t="s">
        <v>392</v>
      </c>
      <c r="AD4" s="613"/>
    </row>
    <row r="5" spans="1:36" x14ac:dyDescent="0.25">
      <c r="A5" s="344">
        <v>2016</v>
      </c>
      <c r="B5" s="29" t="s">
        <v>109</v>
      </c>
      <c r="C5" s="370">
        <v>0</v>
      </c>
      <c r="D5" s="371">
        <f>C5*0.25/1</f>
        <v>0</v>
      </c>
      <c r="E5" s="368">
        <f>C5*D5*'ITS &amp; Connected Veh - Back Calc'!$G$91*((1+0.015)^1)</f>
        <v>0</v>
      </c>
      <c r="F5" s="368">
        <f>C5*D5*'ITS &amp; Connected Veh - Back Calc'!$H$91*((1+0.015)^1)</f>
        <v>0</v>
      </c>
      <c r="G5" s="368">
        <f>C5*D5*'ITS &amp; Connected Veh - Back Calc'!$I$91*((1+0.015)^1)</f>
        <v>0</v>
      </c>
      <c r="H5" s="375">
        <v>0</v>
      </c>
      <c r="I5" s="371">
        <f t="shared" ref="I5:I31" si="0">C5*0.8/1</f>
        <v>0</v>
      </c>
      <c r="J5" s="357">
        <f>C5*I5*'ITS &amp; Connected Veh - Back Calc'!$R$8*((1+0.015)^1)</f>
        <v>0</v>
      </c>
      <c r="K5" s="357">
        <f>C5*I5*'ITS &amp; Connected Veh - Back Calc'!$S$8*((1+0.015)^1)</f>
        <v>0</v>
      </c>
      <c r="L5" s="357">
        <f>C5*I5*'ITS &amp; Connected Veh - Back Calc'!$T$8*((1+0.015)^1)</f>
        <v>0</v>
      </c>
      <c r="M5" s="357">
        <f>C5*I5*'ITS &amp; Connected Veh - Back Calc'!$U$8*((1+0.015)^1)</f>
        <v>0</v>
      </c>
      <c r="N5" s="357">
        <f>C5*I5*'ITS &amp; Connected Veh - Back Calc'!$V$8*((1+0.015)^1)</f>
        <v>0</v>
      </c>
      <c r="O5" s="376">
        <v>0</v>
      </c>
      <c r="P5" s="371">
        <f>C5*0.1089/1</f>
        <v>0</v>
      </c>
      <c r="Q5" s="369">
        <f>C5*0.1551/1</f>
        <v>0</v>
      </c>
      <c r="R5" s="369">
        <f>C5*0.1909/1</f>
        <v>0</v>
      </c>
      <c r="S5" s="369">
        <f>C5*0.1323/1</f>
        <v>0</v>
      </c>
      <c r="T5" s="369">
        <f>C5*0.0655/1</f>
        <v>0</v>
      </c>
      <c r="U5" s="367">
        <f>P5*C5*'ITS &amp; Connected Veh - Back Calc'!$J$91*((1+0.015)^1)</f>
        <v>0</v>
      </c>
      <c r="V5" s="367">
        <f>Q5*C5*'ITS &amp; Connected Veh - Back Calc'!$K$91*((1+0.015)^1)</f>
        <v>0</v>
      </c>
      <c r="W5" s="367">
        <f>C5*R5*'ITS &amp; Connected Veh - Back Calc'!$M$91*((1+0.015)^1)</f>
        <v>0</v>
      </c>
      <c r="X5" s="367">
        <f>S5*C5*'ITS &amp; Connected Veh - Back Calc'!$L$91*((1+0.015)^1)</f>
        <v>0</v>
      </c>
      <c r="Y5" s="367">
        <f>T5*C5*'ITS &amp; Connected Veh - Back Calc'!$N$91*((1+0.015)^1)</f>
        <v>0</v>
      </c>
      <c r="Z5" s="375">
        <v>0</v>
      </c>
      <c r="AA5" s="371">
        <f>C5*0.13/1</f>
        <v>0</v>
      </c>
      <c r="AB5" s="420">
        <f>AA5*C5*'ITS &amp; Connected Veh - Back Calc'!$O$91*((1+0.015)^1)</f>
        <v>0</v>
      </c>
      <c r="AC5" s="375">
        <v>0</v>
      </c>
      <c r="AD5" s="422">
        <f>AC5+Z5+O5+H5</f>
        <v>0</v>
      </c>
    </row>
    <row r="6" spans="1:36" x14ac:dyDescent="0.25">
      <c r="A6" s="344">
        <v>2017</v>
      </c>
      <c r="B6" s="29" t="s">
        <v>109</v>
      </c>
      <c r="C6" s="370">
        <v>0</v>
      </c>
      <c r="D6" s="371">
        <f t="shared" ref="D6:D31" si="1">C6*0.25/1</f>
        <v>0</v>
      </c>
      <c r="E6" s="368">
        <f>C6*D6*'ITS &amp; Connected Veh - Back Calc'!$G$91*((1+0.015)^2)</f>
        <v>0</v>
      </c>
      <c r="F6" s="368">
        <f>C6*D6*'ITS &amp; Connected Veh - Back Calc'!$H$91*((1+0.015)^2)</f>
        <v>0</v>
      </c>
      <c r="G6" s="368">
        <f>C6*D6*'ITS &amp; Connected Veh - Back Calc'!$I$91*((1+0.015)^2)</f>
        <v>0</v>
      </c>
      <c r="H6" s="375">
        <v>0</v>
      </c>
      <c r="I6" s="371">
        <f t="shared" si="0"/>
        <v>0</v>
      </c>
      <c r="J6" s="357">
        <f>C6*I6*'ITS &amp; Connected Veh - Back Calc'!$R$8*((1+0.015)^2)</f>
        <v>0</v>
      </c>
      <c r="K6" s="357">
        <f>C6*I6*'ITS &amp; Connected Veh - Back Calc'!$S$8*((1+0.015)^2)</f>
        <v>0</v>
      </c>
      <c r="L6" s="357">
        <f>C6*I6*'ITS &amp; Connected Veh - Back Calc'!$T$8*((1+0.015)^2)</f>
        <v>0</v>
      </c>
      <c r="M6" s="357">
        <f>C6*I6*'ITS &amp; Connected Veh - Back Calc'!$U$8*((1+0.015)^2)</f>
        <v>0</v>
      </c>
      <c r="N6" s="357">
        <f>C6*I6*'ITS &amp; Connected Veh - Back Calc'!$V$8*((1+0.015)^2)</f>
        <v>0</v>
      </c>
      <c r="O6" s="376">
        <v>0</v>
      </c>
      <c r="P6" s="371">
        <f t="shared" ref="P6:P31" si="2">C6*0.1089/1</f>
        <v>0</v>
      </c>
      <c r="Q6" s="369">
        <f t="shared" ref="Q6:Q31" si="3">C6*0.1551/1</f>
        <v>0</v>
      </c>
      <c r="R6" s="369">
        <f t="shared" ref="R6:R31" si="4">C6*0.1909/1</f>
        <v>0</v>
      </c>
      <c r="S6" s="369">
        <f t="shared" ref="S6:S31" si="5">C6*0.1323/1</f>
        <v>0</v>
      </c>
      <c r="T6" s="369">
        <f t="shared" ref="T6:T31" si="6">C6*0.0655/1</f>
        <v>0</v>
      </c>
      <c r="U6" s="367">
        <f>P6*C6*'ITS &amp; Connected Veh - Back Calc'!$J$91*((1+0.015)^2)</f>
        <v>0</v>
      </c>
      <c r="V6" s="367">
        <f>Q6*C6*'ITS &amp; Connected Veh - Back Calc'!$K$91*((1+0.015)^2)</f>
        <v>0</v>
      </c>
      <c r="W6" s="367">
        <f>C6*R6*'ITS &amp; Connected Veh - Back Calc'!$M$91*((1+0.015)^2)</f>
        <v>0</v>
      </c>
      <c r="X6" s="367">
        <f>S6*C6*'ITS &amp; Connected Veh - Back Calc'!$L$91*((1+0.015)^2)</f>
        <v>0</v>
      </c>
      <c r="Y6" s="367">
        <f>T6*C6*'ITS &amp; Connected Veh - Back Calc'!$N$91*((1+0.015)^2)</f>
        <v>0</v>
      </c>
      <c r="Z6" s="375">
        <v>0</v>
      </c>
      <c r="AA6" s="371">
        <f t="shared" ref="AA6:AA31" si="7">C6*0.13/1</f>
        <v>0</v>
      </c>
      <c r="AB6" s="420">
        <f>AA6*C6*'ITS &amp; Connected Veh - Back Calc'!$O$91*((1+0.015)^2)</f>
        <v>0</v>
      </c>
      <c r="AC6" s="375">
        <v>0</v>
      </c>
      <c r="AD6" s="422">
        <f t="shared" ref="AD6:AD31" si="8">AC6+Z6+O6+H6</f>
        <v>0</v>
      </c>
    </row>
    <row r="7" spans="1:36" x14ac:dyDescent="0.25">
      <c r="A7" s="344">
        <v>2018</v>
      </c>
      <c r="B7" s="29" t="s">
        <v>109</v>
      </c>
      <c r="C7" s="370">
        <v>0</v>
      </c>
      <c r="D7" s="371">
        <f t="shared" si="1"/>
        <v>0</v>
      </c>
      <c r="E7" s="368">
        <f>C7*D7*'ITS &amp; Connected Veh - Back Calc'!$G$91*((1+0.015)^3)</f>
        <v>0</v>
      </c>
      <c r="F7" s="368">
        <f>C7*D7*'ITS &amp; Connected Veh - Back Calc'!$H$91*((1+0.015)^3)</f>
        <v>0</v>
      </c>
      <c r="G7" s="368">
        <f>C7*D7*'ITS &amp; Connected Veh - Back Calc'!$I$91*((1+0.015)^3)</f>
        <v>0</v>
      </c>
      <c r="H7" s="375">
        <v>0</v>
      </c>
      <c r="I7" s="371">
        <f t="shared" si="0"/>
        <v>0</v>
      </c>
      <c r="J7" s="357">
        <f>C7*I7*'ITS &amp; Connected Veh - Back Calc'!$R$8*((1+0.015)^3)</f>
        <v>0</v>
      </c>
      <c r="K7" s="357">
        <f>C7*I7*'ITS &amp; Connected Veh - Back Calc'!$S$8*((1+0.015)^3)</f>
        <v>0</v>
      </c>
      <c r="L7" s="357">
        <f>C7*I7*'ITS &amp; Connected Veh - Back Calc'!$T$8*((1+0.015)^3)</f>
        <v>0</v>
      </c>
      <c r="M7" s="357">
        <f>C7*I7*'ITS &amp; Connected Veh - Back Calc'!$U$8*((1+0.015)^3)</f>
        <v>0</v>
      </c>
      <c r="N7" s="357">
        <f>C7*I7*'ITS &amp; Connected Veh - Back Calc'!$V$8*((1+0.015)^3)</f>
        <v>0</v>
      </c>
      <c r="O7" s="376">
        <v>0</v>
      </c>
      <c r="P7" s="371">
        <f t="shared" si="2"/>
        <v>0</v>
      </c>
      <c r="Q7" s="369">
        <f t="shared" si="3"/>
        <v>0</v>
      </c>
      <c r="R7" s="369">
        <f t="shared" si="4"/>
        <v>0</v>
      </c>
      <c r="S7" s="369">
        <f t="shared" si="5"/>
        <v>0</v>
      </c>
      <c r="T7" s="369">
        <f t="shared" si="6"/>
        <v>0</v>
      </c>
      <c r="U7" s="367">
        <f>P7*C7*'ITS &amp; Connected Veh - Back Calc'!$J$91*((1+0.015)^3)</f>
        <v>0</v>
      </c>
      <c r="V7" s="367">
        <f>Q7*C7*'ITS &amp; Connected Veh - Back Calc'!$K$91*((1+0.015)^3)</f>
        <v>0</v>
      </c>
      <c r="W7" s="367">
        <f>C7*R7*'ITS &amp; Connected Veh - Back Calc'!$M$91*((1+0.015)^3)</f>
        <v>0</v>
      </c>
      <c r="X7" s="367">
        <f>S7*C7*'ITS &amp; Connected Veh - Back Calc'!$L$91*((1+0.015)^3)</f>
        <v>0</v>
      </c>
      <c r="Y7" s="367">
        <f>T7*C7*'ITS &amp; Connected Veh - Back Calc'!$N$91*((1+0.015)^3)</f>
        <v>0</v>
      </c>
      <c r="Z7" s="375">
        <v>0</v>
      </c>
      <c r="AA7" s="371">
        <f t="shared" si="7"/>
        <v>0</v>
      </c>
      <c r="AB7" s="420">
        <f>AA7*C7*'ITS &amp; Connected Veh - Back Calc'!$O$91*((1+0.015)^3)</f>
        <v>0</v>
      </c>
      <c r="AC7" s="375">
        <v>0</v>
      </c>
      <c r="AD7" s="422">
        <f t="shared" si="8"/>
        <v>0</v>
      </c>
    </row>
    <row r="8" spans="1:36" x14ac:dyDescent="0.25">
      <c r="A8" s="344">
        <v>2019</v>
      </c>
      <c r="B8" s="29" t="s">
        <v>109</v>
      </c>
      <c r="C8" s="370">
        <v>0</v>
      </c>
      <c r="D8" s="371">
        <f t="shared" si="1"/>
        <v>0</v>
      </c>
      <c r="E8" s="368">
        <f>C8*D8*'ITS &amp; Connected Veh - Back Calc'!$G$91*((1+0.015)^4)</f>
        <v>0</v>
      </c>
      <c r="F8" s="368">
        <f>C8*D8*'ITS &amp; Connected Veh - Back Calc'!$H$91*((1+0.015)^4)</f>
        <v>0</v>
      </c>
      <c r="G8" s="368">
        <f>C8*D8*'ITS &amp; Connected Veh - Back Calc'!$I$91*((1+0.015)^4)</f>
        <v>0</v>
      </c>
      <c r="H8" s="375">
        <v>0</v>
      </c>
      <c r="I8" s="371">
        <f t="shared" si="0"/>
        <v>0</v>
      </c>
      <c r="J8" s="357">
        <f>C8*I8*'ITS &amp; Connected Veh - Back Calc'!$R$8*((1+0.015)^4)</f>
        <v>0</v>
      </c>
      <c r="K8" s="357">
        <f>C8*I8*'ITS &amp; Connected Veh - Back Calc'!$S$8*((1+0.015)^4)</f>
        <v>0</v>
      </c>
      <c r="L8" s="357">
        <f>C8*I8*'ITS &amp; Connected Veh - Back Calc'!$T$8*((1+0.015)^4)</f>
        <v>0</v>
      </c>
      <c r="M8" s="357">
        <f>C8*I8*'ITS &amp; Connected Veh - Back Calc'!$U$8*((1+0.015)^4)</f>
        <v>0</v>
      </c>
      <c r="N8" s="357">
        <f>C8*I8*'ITS &amp; Connected Veh - Back Calc'!$V$8*((1+0.015)^4)</f>
        <v>0</v>
      </c>
      <c r="O8" s="376">
        <v>0</v>
      </c>
      <c r="P8" s="371">
        <f t="shared" si="2"/>
        <v>0</v>
      </c>
      <c r="Q8" s="369">
        <f t="shared" si="3"/>
        <v>0</v>
      </c>
      <c r="R8" s="369">
        <f t="shared" si="4"/>
        <v>0</v>
      </c>
      <c r="S8" s="369">
        <f t="shared" si="5"/>
        <v>0</v>
      </c>
      <c r="T8" s="369">
        <f t="shared" si="6"/>
        <v>0</v>
      </c>
      <c r="U8" s="367">
        <f>P8*C8*'ITS &amp; Connected Veh - Back Calc'!$J$91*((1+0.015)^4)</f>
        <v>0</v>
      </c>
      <c r="V8" s="367">
        <f>Q8*C8*'ITS &amp; Connected Veh - Back Calc'!$K$91*((1+0.015)^4)</f>
        <v>0</v>
      </c>
      <c r="W8" s="367">
        <f>C8*R8*'ITS &amp; Connected Veh - Back Calc'!$M$91*((1+0.015)^4)</f>
        <v>0</v>
      </c>
      <c r="X8" s="367">
        <f>S8*C8*'ITS &amp; Connected Veh - Back Calc'!$L$91*((1+0.015)^4)</f>
        <v>0</v>
      </c>
      <c r="Y8" s="367">
        <f>T8*C8*'ITS &amp; Connected Veh - Back Calc'!$N$91*((1+0.015)^4)</f>
        <v>0</v>
      </c>
      <c r="Z8" s="375">
        <v>0</v>
      </c>
      <c r="AA8" s="371">
        <f t="shared" si="7"/>
        <v>0</v>
      </c>
      <c r="AB8" s="420">
        <f>AA8*C8*'ITS &amp; Connected Veh - Back Calc'!$O$91*((1+0.015)^4)</f>
        <v>0</v>
      </c>
      <c r="AC8" s="375">
        <v>0</v>
      </c>
      <c r="AD8" s="422">
        <f t="shared" si="8"/>
        <v>0</v>
      </c>
    </row>
    <row r="9" spans="1:36" x14ac:dyDescent="0.25">
      <c r="A9" s="210" t="s">
        <v>105</v>
      </c>
      <c r="B9" s="29" t="s">
        <v>110</v>
      </c>
      <c r="C9" s="370">
        <v>0</v>
      </c>
      <c r="D9" s="371">
        <f t="shared" si="1"/>
        <v>0</v>
      </c>
      <c r="E9" s="368">
        <f>C9*D9*'ITS &amp; Connected Veh - Back Calc'!$G$91*((1+0.015)^5)</f>
        <v>0</v>
      </c>
      <c r="F9" s="368">
        <f>C9*D9*'ITS &amp; Connected Veh - Back Calc'!$H$91*((1+0.015)^5)</f>
        <v>0</v>
      </c>
      <c r="G9" s="368">
        <f>C9*D9*'ITS &amp; Connected Veh - Back Calc'!$I$91*((1+0.015)^5)</f>
        <v>0</v>
      </c>
      <c r="H9" s="375">
        <v>0</v>
      </c>
      <c r="I9" s="371">
        <f t="shared" si="0"/>
        <v>0</v>
      </c>
      <c r="J9" s="357">
        <f>C9*I9*'ITS &amp; Connected Veh - Back Calc'!$R$8*((1+0.015)^5)</f>
        <v>0</v>
      </c>
      <c r="K9" s="357">
        <f>C9*I9*'ITS &amp; Connected Veh - Back Calc'!$S$8*((1+0.015)^5)</f>
        <v>0</v>
      </c>
      <c r="L9" s="357">
        <f>C9*I9*'ITS &amp; Connected Veh - Back Calc'!$T$8*((1+0.015)^5)</f>
        <v>0</v>
      </c>
      <c r="M9" s="357">
        <f>C9*I9*'ITS &amp; Connected Veh - Back Calc'!$U$8*((1+0.015)^5)</f>
        <v>0</v>
      </c>
      <c r="N9" s="357">
        <f>C9*I9*'ITS &amp; Connected Veh - Back Calc'!$V$8*((1+0.015)^5)</f>
        <v>0</v>
      </c>
      <c r="O9" s="376">
        <v>0</v>
      </c>
      <c r="P9" s="371">
        <f t="shared" si="2"/>
        <v>0</v>
      </c>
      <c r="Q9" s="369">
        <f t="shared" si="3"/>
        <v>0</v>
      </c>
      <c r="R9" s="369">
        <f t="shared" si="4"/>
        <v>0</v>
      </c>
      <c r="S9" s="369">
        <f t="shared" si="5"/>
        <v>0</v>
      </c>
      <c r="T9" s="369">
        <f t="shared" si="6"/>
        <v>0</v>
      </c>
      <c r="U9" s="367">
        <f>P9*C9*'ITS &amp; Connected Veh - Back Calc'!$J$91*((1+0.015)^5)</f>
        <v>0</v>
      </c>
      <c r="V9" s="367">
        <f>Q9*C9*'ITS &amp; Connected Veh - Back Calc'!$K$91*((1+0.015)^5)</f>
        <v>0</v>
      </c>
      <c r="W9" s="367">
        <f>C9*R9*'ITS &amp; Connected Veh - Back Calc'!$M$91*((1+0.015)^5)</f>
        <v>0</v>
      </c>
      <c r="X9" s="367">
        <f>S9*C9*'ITS &amp; Connected Veh - Back Calc'!$L$91*((1+0.015)^5)</f>
        <v>0</v>
      </c>
      <c r="Y9" s="367">
        <f>T9*C9*'ITS &amp; Connected Veh - Back Calc'!$N$91*((1+0.015)^5)</f>
        <v>0</v>
      </c>
      <c r="Z9" s="375">
        <v>0</v>
      </c>
      <c r="AA9" s="371">
        <f t="shared" si="7"/>
        <v>0</v>
      </c>
      <c r="AB9" s="420">
        <f>AA9*C9*'ITS &amp; Connected Veh - Back Calc'!$O$91*((1+0.015)^5)</f>
        <v>0</v>
      </c>
      <c r="AC9" s="375">
        <v>0</v>
      </c>
      <c r="AD9" s="422">
        <f t="shared" si="8"/>
        <v>0</v>
      </c>
    </row>
    <row r="10" spans="1:36" x14ac:dyDescent="0.25">
      <c r="A10" s="344">
        <v>2021</v>
      </c>
      <c r="B10" s="29" t="s">
        <v>110</v>
      </c>
      <c r="C10" s="370">
        <v>0.08</v>
      </c>
      <c r="D10" s="371">
        <f t="shared" si="1"/>
        <v>0.02</v>
      </c>
      <c r="E10" s="368">
        <f>C10*D10*'ITS &amp; Connected Veh - Back Calc'!$G$91*((1+0.015)^6)</f>
        <v>26760.353405767841</v>
      </c>
      <c r="F10" s="368">
        <f>C10*D10*'ITS &amp; Connected Veh - Back Calc'!$H$91*((1+0.015)^6)</f>
        <v>64.320066721659416</v>
      </c>
      <c r="G10" s="368">
        <f>C10*D10*'ITS &amp; Connected Veh - Back Calc'!$I$91*((1+0.015)^6)</f>
        <v>972.11613369886356</v>
      </c>
      <c r="H10" s="375">
        <v>0</v>
      </c>
      <c r="I10" s="371">
        <f t="shared" si="0"/>
        <v>6.4000000000000001E-2</v>
      </c>
      <c r="J10" s="357">
        <f>C10*I10*'ITS &amp; Connected Veh - Back Calc'!$R$8*((1+0.015)^6)</f>
        <v>5.1973902092210551</v>
      </c>
      <c r="K10" s="357">
        <f>C10*I10*'ITS &amp; Connected Veh - Back Calc'!$S$8*((1+0.015)^6)</f>
        <v>0.41530203739897725</v>
      </c>
      <c r="L10" s="357">
        <f>C10*I10*'ITS &amp; Connected Veh - Back Calc'!$T$8*((1+0.015)^6)</f>
        <v>6.4513838380230892E-2</v>
      </c>
      <c r="M10" s="357">
        <f>C10*I10*'ITS &amp; Connected Veh - Back Calc'!$U$8*((1+0.015)^6)</f>
        <v>1.1634544241972808E-2</v>
      </c>
      <c r="N10" s="357">
        <f>C10*I10*'ITS &amp; Connected Veh - Back Calc'!$V$8*((1+0.015)^6)</f>
        <v>3.616417511470218E-3</v>
      </c>
      <c r="O10" s="376">
        <v>0</v>
      </c>
      <c r="P10" s="371">
        <f t="shared" si="2"/>
        <v>8.7119999999999993E-3</v>
      </c>
      <c r="Q10" s="369">
        <f t="shared" si="3"/>
        <v>1.2407999999999999E-2</v>
      </c>
      <c r="R10" s="369">
        <f t="shared" si="4"/>
        <v>1.5271999999999999E-2</v>
      </c>
      <c r="S10" s="369">
        <f t="shared" si="5"/>
        <v>1.0584E-2</v>
      </c>
      <c r="T10" s="369">
        <f t="shared" si="6"/>
        <v>5.2400000000000007E-3</v>
      </c>
      <c r="U10" s="367">
        <f>P10*C10*'ITS &amp; Connected Veh - Back Calc'!$J$91*((1+0.015)^6)</f>
        <v>2.3492354314829197E-2</v>
      </c>
      <c r="V10" s="367">
        <f>Q10*C10*'ITS &amp; Connected Veh - Back Calc'!$K$91*((1+0.015)^6)</f>
        <v>9.7826039119102329E-2</v>
      </c>
      <c r="W10" s="367">
        <f>C10*R10*'ITS &amp; Connected Veh - Back Calc'!$M$91*((1+0.015)^6)</f>
        <v>8.0813099900413857E-3</v>
      </c>
      <c r="X10" s="367">
        <f>S10*C10*'ITS &amp; Connected Veh - Back Calc'!$L$91*((1+0.015)^6)</f>
        <v>0.59424804222104755</v>
      </c>
      <c r="Y10" s="367">
        <f>T10*C10*'ITS &amp; Connected Veh - Back Calc'!$N$91*((1+0.015)^6)</f>
        <v>37.784905665480366</v>
      </c>
      <c r="Z10" s="375">
        <v>0</v>
      </c>
      <c r="AA10" s="371">
        <f t="shared" si="7"/>
        <v>1.0400000000000001E-2</v>
      </c>
      <c r="AB10" s="420">
        <f>AA10*C10*'ITS &amp; Connected Veh - Back Calc'!$O$91*((1+0.015)^6)</f>
        <v>14531.975011063072</v>
      </c>
      <c r="AC10" s="375">
        <v>0</v>
      </c>
      <c r="AD10" s="422">
        <f t="shared" si="8"/>
        <v>0</v>
      </c>
    </row>
    <row r="11" spans="1:36" x14ac:dyDescent="0.25">
      <c r="A11" s="210" t="s">
        <v>106</v>
      </c>
      <c r="B11" s="29" t="s">
        <v>110</v>
      </c>
      <c r="C11" s="370">
        <v>0.15</v>
      </c>
      <c r="D11" s="371">
        <f t="shared" si="1"/>
        <v>3.7499999999999999E-2</v>
      </c>
      <c r="E11" s="368">
        <f>C11*D11*'ITS &amp; Connected Veh - Back Calc'!$G$91*((1+0.015)^7)</f>
        <v>95490.557953784824</v>
      </c>
      <c r="F11" s="368">
        <f>C11*D11*'ITS &amp; Connected Veh - Back Calc'!$H$91*((1+0.015)^7)</f>
        <v>229.51711308685881</v>
      </c>
      <c r="G11" s="368">
        <f>C11*D11*'ITS &amp; Connected Veh - Back Calc'!$I$91*((1+0.015)^7)</f>
        <v>3468.8597192730927</v>
      </c>
      <c r="H11" s="375">
        <v>0</v>
      </c>
      <c r="I11" s="371">
        <f t="shared" si="0"/>
        <v>0.12</v>
      </c>
      <c r="J11" s="357">
        <f>C11*I11*'ITS &amp; Connected Veh - Back Calc'!$R$8*((1+0.015)^7)</f>
        <v>18.546156078607162</v>
      </c>
      <c r="K11" s="357">
        <f>C11*I11*'ITS &amp; Connected Veh - Back Calc'!$S$8*((1+0.015)^7)</f>
        <v>1.4819469186092404</v>
      </c>
      <c r="L11" s="357">
        <f>C11*I11*'ITS &amp; Connected Veh - Back Calc'!$T$8*((1+0.015)^7)</f>
        <v>0.23020856000133164</v>
      </c>
      <c r="M11" s="357">
        <f>C11*I11*'ITS &amp; Connected Veh - Back Calc'!$U$8*((1+0.015)^7)</f>
        <v>4.1516235019695917E-2</v>
      </c>
      <c r="N11" s="357">
        <f>C11*I11*'ITS &amp; Connected Veh - Back Calc'!$V$8*((1+0.015)^7)</f>
        <v>1.2904677330968917E-2</v>
      </c>
      <c r="O11" s="376">
        <v>0</v>
      </c>
      <c r="P11" s="371">
        <f t="shared" si="2"/>
        <v>1.6334999999999999E-2</v>
      </c>
      <c r="Q11" s="369">
        <f t="shared" si="3"/>
        <v>2.3264999999999997E-2</v>
      </c>
      <c r="R11" s="369">
        <f t="shared" si="4"/>
        <v>2.8634999999999997E-2</v>
      </c>
      <c r="S11" s="369">
        <f t="shared" si="5"/>
        <v>1.9844999999999998E-2</v>
      </c>
      <c r="T11" s="369">
        <f t="shared" si="6"/>
        <v>9.8250000000000004E-3</v>
      </c>
      <c r="U11" s="367">
        <f>P11*C11*'ITS &amp; Connected Veh - Back Calc'!$J$91*((1+0.015)^7)</f>
        <v>8.3829162760142448E-2</v>
      </c>
      <c r="V11" s="367">
        <f>Q11*C11*'ITS &amp; Connected Veh - Back Calc'!$K$91*((1+0.015)^7)</f>
        <v>0.34907846380976548</v>
      </c>
      <c r="W11" s="367">
        <f>C11*R11*'ITS &amp; Connected Veh - Back Calc'!$M$91*((1+0.015)^7)</f>
        <v>2.8837018265245328E-2</v>
      </c>
      <c r="X11" s="367">
        <f>S11*C11*'ITS &amp; Connected Veh - Back Calc'!$L$91*((1+0.015)^7)</f>
        <v>2.1204905725348704</v>
      </c>
      <c r="Y11" s="367">
        <f>T11*C11*'ITS &amp; Connected Veh - Back Calc'!$N$91*((1+0.015)^7)</f>
        <v>134.83012236490745</v>
      </c>
      <c r="Z11" s="375">
        <v>0</v>
      </c>
      <c r="AA11" s="371">
        <f t="shared" si="7"/>
        <v>1.95E-2</v>
      </c>
      <c r="AB11" s="420">
        <f>AA11*C11*'ITS &amp; Connected Veh - Back Calc'!$O$91*((1+0.015)^7)</f>
        <v>51855.309267992634</v>
      </c>
      <c r="AC11" s="375">
        <v>0</v>
      </c>
      <c r="AD11" s="422">
        <f t="shared" si="8"/>
        <v>0</v>
      </c>
      <c r="AE11" s="31"/>
      <c r="AF11" s="100"/>
      <c r="AG11" s="100"/>
      <c r="AH11" s="100"/>
    </row>
    <row r="12" spans="1:36" x14ac:dyDescent="0.25">
      <c r="A12" s="344">
        <v>2023</v>
      </c>
      <c r="B12" s="89">
        <v>1</v>
      </c>
      <c r="C12" s="370">
        <v>0.22</v>
      </c>
      <c r="D12" s="371">
        <f t="shared" si="1"/>
        <v>5.5E-2</v>
      </c>
      <c r="E12" s="368">
        <f>C12*D12*'ITS &amp; Connected Veh - Back Calc'!$G$91*((1+0.015)^8)</f>
        <v>208491.96222389481</v>
      </c>
      <c r="F12" s="368">
        <f>C12*D12*'ITS &amp; Connected Veh - Back Calc'!$H$91*((1+0.015)^8)</f>
        <v>501.12256433355662</v>
      </c>
      <c r="G12" s="368">
        <f>C12*D12*'ITS &amp; Connected Veh - Back Calc'!$I$91*((1+0.015)^8)</f>
        <v>7573.8312252893302</v>
      </c>
      <c r="H12" s="375">
        <f>E12*'Travel Time - Value'!$B$7+F12*'Travel Time - Value'!$B$10+G12*'Travel Time - Value'!$B$9</f>
        <v>3159926.6452554259</v>
      </c>
      <c r="I12" s="371">
        <f t="shared" si="0"/>
        <v>0.17600000000000002</v>
      </c>
      <c r="J12" s="357">
        <f>C12*I12*'ITS &amp; Connected Veh - Back Calc'!$R$8*((1+0.015)^8)</f>
        <v>40.49326504522913</v>
      </c>
      <c r="K12" s="357">
        <f>C12*I12*'ITS &amp; Connected Veh - Back Calc'!$S$8*((1+0.015)^8)</f>
        <v>3.2356499699376697</v>
      </c>
      <c r="L12" s="357">
        <f>C12*I12*'ITS &amp; Connected Veh - Back Calc'!$T$8*((1+0.015)^8)</f>
        <v>0.50263225416112978</v>
      </c>
      <c r="M12" s="357">
        <f>C12*I12*'ITS &amp; Connected Veh - Back Calc'!$U$8*((1+0.015)^8)</f>
        <v>9.0645624959003648E-2</v>
      </c>
      <c r="N12" s="357">
        <f>C12*I12*'ITS &amp; Connected Veh - Back Calc'!$V$8*((1+0.015)^8)</f>
        <v>2.8175785713830184E-2</v>
      </c>
      <c r="O12" s="376">
        <f>J12*'KABCO Level - Values'!$B$4+K12*'KABCO Level - Values'!$B$5+L12*'KABCO Level - Values'!$B$6+M12*'KABCO Level - Values'!$B$7+N12*'KABCO Level - Values'!$B$8</f>
        <v>711268.46226533991</v>
      </c>
      <c r="P12" s="371">
        <f t="shared" si="2"/>
        <v>2.3958E-2</v>
      </c>
      <c r="Q12" s="369">
        <f t="shared" si="3"/>
        <v>3.4122E-2</v>
      </c>
      <c r="R12" s="369">
        <f t="shared" si="4"/>
        <v>4.1998000000000001E-2</v>
      </c>
      <c r="S12" s="369">
        <f t="shared" si="5"/>
        <v>2.9106E-2</v>
      </c>
      <c r="T12" s="369">
        <f t="shared" si="6"/>
        <v>1.4410000000000001E-2</v>
      </c>
      <c r="U12" s="367">
        <f>P12*C12*'ITS &amp; Connected Veh - Back Calc'!$J$91*((1+0.015)^8)</f>
        <v>0.18303073110021148</v>
      </c>
      <c r="V12" s="367">
        <f>Q12*C12*'ITS &amp; Connected Veh - Back Calc'!$K$91*((1+0.015)^8)</f>
        <v>0.76217016058304621</v>
      </c>
      <c r="W12" s="367">
        <f>C12*R12*'ITS &amp; Connected Veh - Back Calc'!$M$91*((1+0.015)^8)</f>
        <v>6.2962104857708548E-2</v>
      </c>
      <c r="X12" s="367">
        <f>S12*C12*'ITS &amp; Connected Veh - Back Calc'!$L$91*((1+0.015)^8)</f>
        <v>4.629831994059912</v>
      </c>
      <c r="Y12" s="367">
        <f>T12*C12*'ITS &amp; Connected Veh - Back Calc'!$N$91*((1+0.015)^8)</f>
        <v>294.38509294659747</v>
      </c>
      <c r="Z12" s="375">
        <f>U12*'Emission - Values'!$B$4+V12*'Emission - Values'!$B$5+W12*'Emission - Values'!$B$6+X12*'Emission - Values'!$C$17+Y12*'Emission - Values'!C35</f>
        <v>55148.290031990466</v>
      </c>
      <c r="AA12" s="371">
        <f t="shared" si="7"/>
        <v>2.86E-2</v>
      </c>
      <c r="AB12" s="420">
        <f>AA12*C12*'ITS &amp; Connected Veh - Back Calc'!$O$91*((1+0.015)^8)</f>
        <v>113219.72991552914</v>
      </c>
      <c r="AC12" s="375">
        <f>AB12*'Fuel Savings - Values'!$B$4</f>
        <v>254744.39230994057</v>
      </c>
      <c r="AD12" s="422">
        <f t="shared" si="8"/>
        <v>4181087.789862697</v>
      </c>
      <c r="AE12" s="100"/>
      <c r="AF12" s="100"/>
      <c r="AG12" s="100"/>
      <c r="AH12" s="100"/>
      <c r="AI12" s="100"/>
      <c r="AJ12" s="232"/>
    </row>
    <row r="13" spans="1:36" x14ac:dyDescent="0.25">
      <c r="A13" s="344">
        <v>2024</v>
      </c>
      <c r="B13" s="89">
        <v>2</v>
      </c>
      <c r="C13" s="370">
        <v>0.28999999999999998</v>
      </c>
      <c r="D13" s="371">
        <f t="shared" si="1"/>
        <v>7.2499999999999995E-2</v>
      </c>
      <c r="E13" s="368">
        <f>C13*D13*'ITS &amp; Connected Veh - Back Calc'!$G$91*((1+0.015)^9)</f>
        <v>367710.46763171477</v>
      </c>
      <c r="F13" s="368">
        <f>C13*D13*'ITS &amp; Connected Veh - Back Calc'!$H$91*((1+0.015)^9)</f>
        <v>883.81350775534906</v>
      </c>
      <c r="G13" s="368">
        <f>C13*D13*'ITS &amp; Connected Veh - Back Calc'!$I$91*((1+0.015)^9)</f>
        <v>13357.718887139154</v>
      </c>
      <c r="H13" s="375">
        <f>E13*'Travel Time - Value'!$B$7+F13*'Travel Time - Value'!$B$10+G13*'Travel Time - Value'!$B$9</f>
        <v>5573059.4696068391</v>
      </c>
      <c r="I13" s="371">
        <f t="shared" si="0"/>
        <v>0.23199999999999998</v>
      </c>
      <c r="J13" s="357">
        <f>C13*I13*'ITS &amp; Connected Veh - Back Calc'!$R$8*((1+0.015)^9)</f>
        <v>71.416649672692671</v>
      </c>
      <c r="K13" s="357">
        <f>C13*I13*'ITS &amp; Connected Veh - Back Calc'!$S$8*((1+0.015)^9)</f>
        <v>5.706610225389138</v>
      </c>
      <c r="L13" s="357">
        <f>C13*I13*'ITS &amp; Connected Veh - Back Calc'!$T$8*((1+0.015)^9)</f>
        <v>0.88647609842097652</v>
      </c>
      <c r="M13" s="357">
        <f>C13*I13*'ITS &amp; Connected Veh - Back Calc'!$U$8*((1+0.015)^9)</f>
        <v>0.15986872964747906</v>
      </c>
      <c r="N13" s="357">
        <f>C13*I13*'ITS &amp; Connected Veh - Back Calc'!$V$8*((1+0.015)^9)</f>
        <v>4.9692713475436245E-2</v>
      </c>
      <c r="O13" s="376">
        <f>J13*'KABCO Level - Values'!$B$4+K13*'KABCO Level - Values'!$B$5+L13*'KABCO Level - Values'!$B$6+M13*'KABCO Level - Values'!$B$7+N13*'KABCO Level - Values'!$B$8</f>
        <v>1254440.9678029502</v>
      </c>
      <c r="P13" s="371">
        <f t="shared" si="2"/>
        <v>3.1580999999999998E-2</v>
      </c>
      <c r="Q13" s="369">
        <f t="shared" si="3"/>
        <v>4.4978999999999991E-2</v>
      </c>
      <c r="R13" s="369">
        <f t="shared" si="4"/>
        <v>5.5360999999999994E-2</v>
      </c>
      <c r="S13" s="369">
        <f t="shared" si="5"/>
        <v>3.8366999999999998E-2</v>
      </c>
      <c r="T13" s="369">
        <f t="shared" si="6"/>
        <v>1.8994999999999998E-2</v>
      </c>
      <c r="U13" s="367">
        <f>P13*C13*'ITS &amp; Connected Veh - Back Calc'!$J$91*((1+0.015)^9)</f>
        <v>0.32280532547129537</v>
      </c>
      <c r="V13" s="367">
        <f>Q13*C13*'ITS &amp; Connected Veh - Back Calc'!$K$91*((1+0.015)^9)</f>
        <v>1.3442146314588774</v>
      </c>
      <c r="W13" s="367">
        <f>C13*R13*'ITS &amp; Connected Veh - Back Calc'!$M$91*((1+0.015)^9)</f>
        <v>0.11104420896304308</v>
      </c>
      <c r="X13" s="367">
        <f>S13*C13*'ITS &amp; Connected Veh - Back Calc'!$L$91*((1+0.015)^9)</f>
        <v>8.1654835487798572</v>
      </c>
      <c r="Y13" s="367">
        <f>T13*C13*'ITS &amp; Connected Veh - Back Calc'!$N$91*((1+0.015)^9)</f>
        <v>519.19737833803663</v>
      </c>
      <c r="Z13" s="375">
        <f>U13*'Emission - Values'!$B$4+V13*'Emission - Values'!$B$5+W13*'Emission - Values'!$B$6+X13*'Emission - Values'!$C$17+Y13*'Emission - Values'!C36</f>
        <v>97657.776921802215</v>
      </c>
      <c r="AA13" s="371">
        <f t="shared" si="7"/>
        <v>3.7699999999999997E-2</v>
      </c>
      <c r="AB13" s="420">
        <f>AA13*C13*'ITS &amp; Connected Veh - Back Calc'!$O$91*((1+0.015)^9)</f>
        <v>199681.94163604212</v>
      </c>
      <c r="AC13" s="375">
        <f>AB13*'Fuel Savings - Values'!$B$4</f>
        <v>449284.36868109478</v>
      </c>
      <c r="AD13" s="422">
        <f t="shared" si="8"/>
        <v>7374442.5830126861</v>
      </c>
      <c r="AE13" s="100"/>
      <c r="AF13" s="100"/>
      <c r="AG13" s="100"/>
      <c r="AH13" s="100"/>
      <c r="AI13" s="100"/>
      <c r="AJ13" s="232"/>
    </row>
    <row r="14" spans="1:36" x14ac:dyDescent="0.25">
      <c r="A14" s="344">
        <v>2025</v>
      </c>
      <c r="B14" s="89">
        <v>3</v>
      </c>
      <c r="C14" s="370">
        <v>0.35</v>
      </c>
      <c r="D14" s="371">
        <f t="shared" si="1"/>
        <v>8.7499999999999994E-2</v>
      </c>
      <c r="E14" s="368">
        <f>C14*D14*'ITS &amp; Connected Veh - Back Calc'!$G$91*((1+0.015)^10)</f>
        <v>543640.90688654373</v>
      </c>
      <c r="F14" s="368">
        <f>C14*D14*'ITS &amp; Connected Veh - Back Calc'!$H$91*((1+0.015)^10)</f>
        <v>1306.6725567245028</v>
      </c>
      <c r="G14" s="368">
        <f>C14*D14*'ITS &amp; Connected Veh - Back Calc'!$I$91*((1+0.015)^10)</f>
        <v>19748.696458141072</v>
      </c>
      <c r="H14" s="375">
        <f>E14*'Travel Time - Value'!$B$7+F14*'Travel Time - Value'!$B$10+G14*'Travel Time - Value'!$B$9</f>
        <v>8239480.1641170075</v>
      </c>
      <c r="I14" s="371">
        <f t="shared" si="0"/>
        <v>0.27999999999999997</v>
      </c>
      <c r="J14" s="357">
        <f>C14*I14*'ITS &amp; Connected Veh - Back Calc'!$R$8*((1+0.015)^10)</f>
        <v>105.58582257643786</v>
      </c>
      <c r="K14" s="357">
        <f>C14*I14*'ITS &amp; Connected Veh - Back Calc'!$S$8*((1+0.015)^10)</f>
        <v>8.4369280487434217</v>
      </c>
      <c r="L14" s="357">
        <f>C14*I14*'ITS &amp; Connected Veh - Back Calc'!$T$8*((1+0.015)^10)</f>
        <v>1.3106090593034265</v>
      </c>
      <c r="M14" s="357">
        <f>C14*I14*'ITS &amp; Connected Veh - Back Calc'!$U$8*((1+0.015)^10)</f>
        <v>0.23635764771157464</v>
      </c>
      <c r="N14" s="357">
        <f>C14*I14*'ITS &amp; Connected Veh - Back Calc'!$V$8*((1+0.015)^10)</f>
        <v>7.3468106560666505E-2</v>
      </c>
      <c r="O14" s="376">
        <f>J14*'KABCO Level - Values'!$B$4+K14*'KABCO Level - Values'!$B$5+L14*'KABCO Level - Values'!$B$6+M14*'KABCO Level - Values'!$B$7+N14*'KABCO Level - Values'!$B$8</f>
        <v>1854626.0860190163</v>
      </c>
      <c r="P14" s="371">
        <f t="shared" si="2"/>
        <v>3.8114999999999996E-2</v>
      </c>
      <c r="Q14" s="369">
        <f t="shared" si="3"/>
        <v>5.4284999999999993E-2</v>
      </c>
      <c r="R14" s="369">
        <f t="shared" si="4"/>
        <v>6.6814999999999986E-2</v>
      </c>
      <c r="S14" s="369">
        <f t="shared" si="5"/>
        <v>4.6304999999999999E-2</v>
      </c>
      <c r="T14" s="369">
        <f t="shared" si="6"/>
        <v>2.2925000000000001E-2</v>
      </c>
      <c r="U14" s="367">
        <f>P14*C14*'ITS &amp; Connected Veh - Back Calc'!$J$91*((1+0.015)^10)</f>
        <v>0.47725097688213064</v>
      </c>
      <c r="V14" s="367">
        <f>Q14*C14*'ITS &amp; Connected Veh - Back Calc'!$K$91*((1+0.015)^10)</f>
        <v>1.9873518042689438</v>
      </c>
      <c r="W14" s="367">
        <f>C14*R14*'ITS &amp; Connected Veh - Back Calc'!$M$91*((1+0.015)^10)</f>
        <v>0.16417311928587833</v>
      </c>
      <c r="X14" s="367">
        <f>S14*C14*'ITS &amp; Connected Veh - Back Calc'!$L$91*((1+0.015)^10)</f>
        <v>12.072245074273669</v>
      </c>
      <c r="Y14" s="367">
        <f>T14*C14*'ITS &amp; Connected Veh - Back Calc'!$N$91*((1+0.015)^10)</f>
        <v>767.60646883597656</v>
      </c>
      <c r="Z14" s="375">
        <f>U14*'Emission - Values'!$B$4+V14*'Emission - Values'!$B$5+W14*'Emission - Values'!$B$6+X14*'Emission - Values'!$C$17+Y14*'Emission - Values'!C37</f>
        <v>144965.27607022948</v>
      </c>
      <c r="AA14" s="371">
        <f t="shared" si="7"/>
        <v>4.5499999999999999E-2</v>
      </c>
      <c r="AB14" s="420">
        <f>AA14*C14*'ITS &amp; Connected Veh - Back Calc'!$O$91*((1+0.015)^10)</f>
        <v>295219.42233259673</v>
      </c>
      <c r="AC14" s="375">
        <f>AB14*'Fuel Savings - Values'!$B$4</f>
        <v>664243.70024834271</v>
      </c>
      <c r="AD14" s="422">
        <f t="shared" si="8"/>
        <v>10903315.226454597</v>
      </c>
      <c r="AE14" s="100"/>
      <c r="AF14" s="100"/>
      <c r="AG14" s="100"/>
      <c r="AH14" s="100"/>
      <c r="AI14" s="100"/>
      <c r="AJ14" s="232"/>
    </row>
    <row r="15" spans="1:36" x14ac:dyDescent="0.25">
      <c r="A15" s="344">
        <v>2026</v>
      </c>
      <c r="B15" s="89">
        <v>4</v>
      </c>
      <c r="C15" s="370">
        <v>0.41</v>
      </c>
      <c r="D15" s="371">
        <f t="shared" si="1"/>
        <v>0.10249999999999999</v>
      </c>
      <c r="E15" s="368">
        <f>C15*D15*'ITS &amp; Connected Veh - Back Calc'!$G$91*((1+0.015)^11)</f>
        <v>757198.58770891756</v>
      </c>
      <c r="F15" s="368">
        <f>C15*D15*'ITS &amp; Connected Veh - Back Calc'!$H$91*((1+0.015)^11)</f>
        <v>1819.9708705075079</v>
      </c>
      <c r="G15" s="368">
        <f>C15*D15*'ITS &amp; Connected Veh - Back Calc'!$I$91*((1+0.015)^11)</f>
        <v>27506.548675369115</v>
      </c>
      <c r="H15" s="375">
        <f>E15*'Travel Time - Value'!$B$7+F15*'Travel Time - Value'!$B$10+G15*'Travel Time - Value'!$B$9</f>
        <v>11476183.386301139</v>
      </c>
      <c r="I15" s="371">
        <f t="shared" si="0"/>
        <v>0.32800000000000001</v>
      </c>
      <c r="J15" s="357">
        <f>C15*I15*'ITS &amp; Connected Veh - Back Calc'!$R$8*((1+0.015)^11)</f>
        <v>147.06295042225054</v>
      </c>
      <c r="K15" s="357">
        <f>C15*I15*'ITS &amp; Connected Veh - Back Calc'!$S$8*((1+0.015)^11)</f>
        <v>11.751194441376944</v>
      </c>
      <c r="L15" s="357">
        <f>C15*I15*'ITS &amp; Connected Veh - Back Calc'!$T$8*((1+0.015)^11)</f>
        <v>1.8254537437709351</v>
      </c>
      <c r="M15" s="357">
        <f>C15*I15*'ITS &amp; Connected Veh - Back Calc'!$U$8*((1+0.015)^11)</f>
        <v>0.32920568480833001</v>
      </c>
      <c r="N15" s="357">
        <f>C15*I15*'ITS &amp; Connected Veh - Back Calc'!$V$8*((1+0.015)^11)</f>
        <v>0.10232847790645519</v>
      </c>
      <c r="O15" s="376">
        <f>J15*'KABCO Level - Values'!$B$4+K15*'KABCO Level - Values'!$B$5+L15*'KABCO Level - Values'!$B$6+M15*'KABCO Level - Values'!$B$7+N15*'KABCO Level - Values'!$B$8</f>
        <v>2583176.2019240293</v>
      </c>
      <c r="P15" s="371">
        <f t="shared" si="2"/>
        <v>4.4648999999999994E-2</v>
      </c>
      <c r="Q15" s="369">
        <f t="shared" si="3"/>
        <v>6.3590999999999995E-2</v>
      </c>
      <c r="R15" s="369">
        <f t="shared" si="4"/>
        <v>7.8268999999999991E-2</v>
      </c>
      <c r="S15" s="369">
        <f t="shared" si="5"/>
        <v>5.4243E-2</v>
      </c>
      <c r="T15" s="369">
        <f t="shared" si="6"/>
        <v>2.6855E-2</v>
      </c>
      <c r="U15" s="367">
        <f>P15*C15*'ITS &amp; Connected Veh - Back Calc'!$J$91*((1+0.015)^11)</f>
        <v>0.66472879634362814</v>
      </c>
      <c r="V15" s="367">
        <f>Q15*C15*'ITS &amp; Connected Veh - Back Calc'!$K$91*((1+0.015)^11)</f>
        <v>2.7680403744659072</v>
      </c>
      <c r="W15" s="367">
        <f>C15*R15*'ITS &amp; Connected Veh - Back Calc'!$M$91*((1+0.015)^11)</f>
        <v>0.22866501120192234</v>
      </c>
      <c r="X15" s="367">
        <f>S15*C15*'ITS &amp; Connected Veh - Back Calc'!$L$91*((1+0.015)^11)</f>
        <v>16.814567860736201</v>
      </c>
      <c r="Y15" s="367">
        <f>T15*C15*'ITS &amp; Connected Veh - Back Calc'!$N$91*((1+0.015)^11)</f>
        <v>1069.1442214081433</v>
      </c>
      <c r="Z15" s="375">
        <f>U15*'Emission - Values'!$B$4+V15*'Emission - Values'!$B$5+W15*'Emission - Values'!$B$6+X15*'Emission - Values'!$C$17+Y15*'Emission - Values'!C38</f>
        <v>202724.22106949426</v>
      </c>
      <c r="AA15" s="371">
        <f t="shared" si="7"/>
        <v>5.33E-2</v>
      </c>
      <c r="AB15" s="420">
        <f>AA15*C15*'ITS &amp; Connected Veh - Back Calc'!$O$91*((1+0.015)^11)</f>
        <v>411190.04626547877</v>
      </c>
      <c r="AC15" s="375">
        <f>AB15*'Fuel Savings - Values'!$B$4</f>
        <v>925177.60409732722</v>
      </c>
      <c r="AD15" s="422">
        <f t="shared" si="8"/>
        <v>15187261.413391991</v>
      </c>
      <c r="AE15" s="100"/>
      <c r="AF15" s="100"/>
      <c r="AG15" s="100"/>
      <c r="AH15" s="100"/>
      <c r="AI15" s="100"/>
      <c r="AJ15" s="232"/>
    </row>
    <row r="16" spans="1:36" x14ac:dyDescent="0.25">
      <c r="A16" s="344">
        <v>2027</v>
      </c>
      <c r="B16" s="89">
        <v>5</v>
      </c>
      <c r="C16" s="370">
        <v>0.47</v>
      </c>
      <c r="D16" s="371">
        <f t="shared" si="1"/>
        <v>0.11749999999999999</v>
      </c>
      <c r="E16" s="368">
        <f>C16*D16*'ITS &amp; Connected Veh - Back Calc'!$G$91*((1+0.015)^12)</f>
        <v>1009959.2239457071</v>
      </c>
      <c r="F16" s="368">
        <f>C16*D16*'ITS &amp; Connected Veh - Back Calc'!$H$91*((1+0.015)^12)</f>
        <v>2427.4957690335223</v>
      </c>
      <c r="G16" s="368">
        <f>C16*D16*'ITS &amp; Connected Veh - Back Calc'!$I$91*((1+0.015)^12)</f>
        <v>36688.516070344274</v>
      </c>
      <c r="H16" s="375">
        <f>E16*'Travel Time - Value'!$B$7+F16*'Travel Time - Value'!$B$10+G16*'Travel Time - Value'!$B$9</f>
        <v>15307050.825011482</v>
      </c>
      <c r="I16" s="371">
        <f t="shared" si="0"/>
        <v>0.376</v>
      </c>
      <c r="J16" s="357">
        <f>C16*I16*'ITS &amp; Connected Veh - Back Calc'!$R$8*((1+0.015)^12)</f>
        <v>196.15406802200633</v>
      </c>
      <c r="K16" s="357">
        <f>C16*I16*'ITS &amp; Connected Veh - Back Calc'!$S$8*((1+0.015)^12)</f>
        <v>15.673863384186015</v>
      </c>
      <c r="L16" s="357">
        <f>C16*I16*'ITS &amp; Connected Veh - Back Calc'!$T$8*((1+0.015)^12)</f>
        <v>2.4348088814930664</v>
      </c>
      <c r="M16" s="357">
        <f>C16*I16*'ITS &amp; Connected Veh - Back Calc'!$U$8*((1+0.015)^12)</f>
        <v>0.43909791083148419</v>
      </c>
      <c r="N16" s="357">
        <f>C16*I16*'ITS &amp; Connected Veh - Back Calc'!$V$8*((1+0.015)^12)</f>
        <v>0.13648677085710284</v>
      </c>
      <c r="O16" s="376">
        <f>J16*'KABCO Level - Values'!$B$4+K16*'KABCO Level - Values'!$B$5+L16*'KABCO Level - Values'!$B$6+M16*'KABCO Level - Values'!$B$7+N16*'KABCO Level - Values'!$B$8</f>
        <v>3445466.8491974613</v>
      </c>
      <c r="P16" s="371">
        <f t="shared" si="2"/>
        <v>5.1182999999999992E-2</v>
      </c>
      <c r="Q16" s="369">
        <f t="shared" si="3"/>
        <v>7.289699999999999E-2</v>
      </c>
      <c r="R16" s="369">
        <f t="shared" si="4"/>
        <v>8.9722999999999983E-2</v>
      </c>
      <c r="S16" s="369">
        <f t="shared" si="5"/>
        <v>6.2181E-2</v>
      </c>
      <c r="T16" s="369">
        <f t="shared" si="6"/>
        <v>3.0785E-2</v>
      </c>
      <c r="U16" s="367">
        <f>P16*C16*'ITS &amp; Connected Veh - Back Calc'!$J$91*((1+0.015)^12)</f>
        <v>0.88662207007133875</v>
      </c>
      <c r="V16" s="367">
        <f>Q16*C16*'ITS &amp; Connected Veh - Back Calc'!$K$91*((1+0.015)^12)</f>
        <v>3.6920405740649107</v>
      </c>
      <c r="W16" s="367">
        <f>C16*R16*'ITS &amp; Connected Veh - Back Calc'!$M$91*((1+0.015)^12)</f>
        <v>0.30499573164260679</v>
      </c>
      <c r="X16" s="367">
        <f>S16*C16*'ITS &amp; Connected Veh - Back Calc'!$L$91*((1+0.015)^12)</f>
        <v>22.427442659388312</v>
      </c>
      <c r="Y16" s="367">
        <f>T16*C16*'ITS &amp; Connected Veh - Back Calc'!$N$91*((1+0.015)^12)</f>
        <v>1426.0355020029428</v>
      </c>
      <c r="Z16" s="375">
        <f>U16*'Emission - Values'!$B$4+V16*'Emission - Values'!$B$5+W16*'Emission - Values'!$B$6+X16*'Emission - Values'!$C$17+Y16*'Emission - Values'!C39</f>
        <v>271479.28471565817</v>
      </c>
      <c r="AA16" s="371">
        <f t="shared" si="7"/>
        <v>6.1100000000000002E-2</v>
      </c>
      <c r="AB16" s="420">
        <f>AA16*C16*'ITS &amp; Connected Veh - Back Calc'!$O$91*((1+0.015)^12)</f>
        <v>548449.4910074058</v>
      </c>
      <c r="AC16" s="375">
        <f>AB16*'Fuel Savings - Values'!$B$4</f>
        <v>1234011.3547666632</v>
      </c>
      <c r="AD16" s="422">
        <f t="shared" si="8"/>
        <v>20258008.313691266</v>
      </c>
      <c r="AE16" s="100"/>
      <c r="AF16" s="100"/>
      <c r="AG16" s="100"/>
      <c r="AH16" s="100"/>
      <c r="AI16" s="100"/>
      <c r="AJ16" s="232"/>
    </row>
    <row r="17" spans="1:36" x14ac:dyDescent="0.25">
      <c r="A17" s="344">
        <v>2028</v>
      </c>
      <c r="B17" s="89">
        <v>6</v>
      </c>
      <c r="C17" s="370">
        <v>0.52</v>
      </c>
      <c r="D17" s="371">
        <f t="shared" si="1"/>
        <v>0.13</v>
      </c>
      <c r="E17" s="368">
        <f>C17*D17*'ITS &amp; Connected Veh - Back Calc'!$G$91*((1+0.015)^13)</f>
        <v>1254818.3285072115</v>
      </c>
      <c r="F17" s="368">
        <f>C17*D17*'ITS &amp; Connected Veh - Back Calc'!$H$91*((1+0.015)^13)</f>
        <v>3016.0288763506765</v>
      </c>
      <c r="G17" s="368">
        <f>C17*D17*'ITS &amp; Connected Veh - Back Calc'!$I$91*((1+0.015)^13)</f>
        <v>45583.446657321911</v>
      </c>
      <c r="H17" s="375">
        <f>E17*'Travel Time - Value'!$B$7+F17*'Travel Time - Value'!$B$10+G17*'Travel Time - Value'!$B$9</f>
        <v>19018161.798231564</v>
      </c>
      <c r="I17" s="371">
        <f t="shared" si="0"/>
        <v>0.41600000000000004</v>
      </c>
      <c r="J17" s="357">
        <f>C17*I17*'ITS &amp; Connected Veh - Back Calc'!$R$8*((1+0.015)^13)</f>
        <v>243.71055180193653</v>
      </c>
      <c r="K17" s="357">
        <f>C17*I17*'ITS &amp; Connected Veh - Back Calc'!$S$8*((1+0.015)^13)</f>
        <v>19.473906061431226</v>
      </c>
      <c r="L17" s="357">
        <f>C17*I17*'ITS &amp; Connected Veh - Back Calc'!$T$8*((1+0.015)^13)</f>
        <v>3.0251150130333233</v>
      </c>
      <c r="M17" s="357">
        <f>C17*I17*'ITS &amp; Connected Veh - Back Calc'!$U$8*((1+0.015)^13)</f>
        <v>0.54555480405235779</v>
      </c>
      <c r="N17" s="357">
        <f>C17*I17*'ITS &amp; Connected Veh - Back Calc'!$V$8*((1+0.015)^13)</f>
        <v>0.16957724392194218</v>
      </c>
      <c r="O17" s="376">
        <f>J17*'KABCO Level - Values'!$B$4+K17*'KABCO Level - Values'!$B$5+L17*'KABCO Level - Values'!$B$6+M17*'KABCO Level - Values'!$B$7+N17*'KABCO Level - Values'!$B$8</f>
        <v>4280801.4919119002</v>
      </c>
      <c r="P17" s="371">
        <f t="shared" si="2"/>
        <v>5.6627999999999998E-2</v>
      </c>
      <c r="Q17" s="369">
        <f t="shared" si="3"/>
        <v>8.0652000000000001E-2</v>
      </c>
      <c r="R17" s="369">
        <f t="shared" si="4"/>
        <v>9.9267999999999995E-2</v>
      </c>
      <c r="S17" s="369">
        <f t="shared" si="5"/>
        <v>6.8795999999999996E-2</v>
      </c>
      <c r="T17" s="369">
        <f t="shared" si="6"/>
        <v>3.406E-2</v>
      </c>
      <c r="U17" s="367">
        <f>P17*C17*'ITS &amp; Connected Veh - Back Calc'!$J$91*((1+0.015)^13)</f>
        <v>1.1015787544748725</v>
      </c>
      <c r="V17" s="367">
        <f>Q17*C17*'ITS &amp; Connected Veh - Back Calc'!$K$91*((1+0.015)^13)</f>
        <v>4.5871556713243971</v>
      </c>
      <c r="W17" s="367">
        <f>C17*R17*'ITS &amp; Connected Veh - Back Calc'!$M$91*((1+0.015)^13)</f>
        <v>0.37894028304075739</v>
      </c>
      <c r="X17" s="367">
        <f>S17*C17*'ITS &amp; Connected Veh - Back Calc'!$L$91*((1+0.015)^13)</f>
        <v>27.864853791421815</v>
      </c>
      <c r="Y17" s="367">
        <f>T17*C17*'ITS &amp; Connected Veh - Back Calc'!$N$91*((1+0.015)^13)</f>
        <v>1771.7700305012208</v>
      </c>
      <c r="Z17" s="375">
        <f>U17*'Emission - Values'!$B$4+V17*'Emission - Values'!$B$5+W17*'Emission - Values'!$B$6+X17*'Emission - Values'!$C$17+Y17*'Emission - Values'!C40</f>
        <v>338644.32443332451</v>
      </c>
      <c r="AA17" s="371">
        <f t="shared" si="7"/>
        <v>6.7600000000000007E-2</v>
      </c>
      <c r="AB17" s="420">
        <f>AA17*C17*'ITS &amp; Connected Veh - Back Calc'!$O$91*((1+0.015)^13)</f>
        <v>681418.07833376445</v>
      </c>
      <c r="AC17" s="375">
        <f>AB17*'Fuel Savings - Values'!$B$4</f>
        <v>1533190.67625097</v>
      </c>
      <c r="AD17" s="422">
        <f t="shared" si="8"/>
        <v>25170798.290827759</v>
      </c>
      <c r="AE17" s="100"/>
      <c r="AF17" s="100"/>
      <c r="AG17" s="100"/>
      <c r="AH17" s="100"/>
      <c r="AI17" s="100"/>
      <c r="AJ17" s="232"/>
    </row>
    <row r="18" spans="1:36" x14ac:dyDescent="0.25">
      <c r="A18" s="344">
        <v>2029</v>
      </c>
      <c r="B18" s="89">
        <v>7</v>
      </c>
      <c r="C18" s="370">
        <v>0.56999999999999995</v>
      </c>
      <c r="D18" s="371">
        <f t="shared" si="1"/>
        <v>0.14249999999999999</v>
      </c>
      <c r="E18" s="368">
        <f>C18*D18*'ITS &amp; Connected Veh - Back Calc'!$G$91*((1+0.015)^14)</f>
        <v>1530347.0120413189</v>
      </c>
      <c r="F18" s="368">
        <f>C18*D18*'ITS &amp; Connected Veh - Back Calc'!$H$91*((1+0.015)^14)</f>
        <v>3678.2781015356113</v>
      </c>
      <c r="G18" s="368">
        <f>C18*D18*'ITS &amp; Connected Veh - Back Calc'!$I$91*((1+0.015)^14)</f>
        <v>55592.502759794152</v>
      </c>
      <c r="H18" s="375">
        <f>E18*'Travel Time - Value'!$B$7+F18*'Travel Time - Value'!$B$10+G18*'Travel Time - Value'!$B$9</f>
        <v>23194104.215122458</v>
      </c>
      <c r="I18" s="371">
        <f t="shared" si="0"/>
        <v>0.45599999999999996</v>
      </c>
      <c r="J18" s="357">
        <f>C18*I18*'ITS &amp; Connected Veh - Back Calc'!$R$8*((1+0.015)^14)</f>
        <v>297.22367475834267</v>
      </c>
      <c r="K18" s="357">
        <f>C18*I18*'ITS &amp; Connected Veh - Back Calc'!$S$8*((1+0.015)^14)</f>
        <v>23.749919232800984</v>
      </c>
      <c r="L18" s="357">
        <f>C18*I18*'ITS &amp; Connected Veh - Back Calc'!$T$8*((1+0.015)^14)</f>
        <v>3.6893593407934318</v>
      </c>
      <c r="M18" s="357">
        <f>C18*I18*'ITS &amp; Connected Veh - Back Calc'!$U$8*((1+0.015)^14)</f>
        <v>0.6653458475375742</v>
      </c>
      <c r="N18" s="357">
        <f>C18*I18*'ITS &amp; Connected Veh - Back Calc'!$V$8*((1+0.015)^14)</f>
        <v>0.20681243065270916</v>
      </c>
      <c r="O18" s="376">
        <f>J18*'KABCO Level - Values'!$B$4+K18*'KABCO Level - Values'!$B$5+L18*'KABCO Level - Values'!$B$6+M18*'KABCO Level - Values'!$B$7+N18*'KABCO Level - Values'!$B$8</f>
        <v>5220765.128672367</v>
      </c>
      <c r="P18" s="371">
        <f t="shared" si="2"/>
        <v>6.2072999999999996E-2</v>
      </c>
      <c r="Q18" s="369">
        <f t="shared" si="3"/>
        <v>8.8406999999999986E-2</v>
      </c>
      <c r="R18" s="369">
        <f t="shared" si="4"/>
        <v>0.10881299999999998</v>
      </c>
      <c r="S18" s="369">
        <f t="shared" si="5"/>
        <v>7.5410999999999992E-2</v>
      </c>
      <c r="T18" s="369">
        <f t="shared" si="6"/>
        <v>3.7335E-2</v>
      </c>
      <c r="U18" s="367">
        <f>P18*C18*'ITS &amp; Connected Veh - Back Calc'!$J$91*((1+0.015)^14)</f>
        <v>1.3434596205207812</v>
      </c>
      <c r="V18" s="367">
        <f>Q18*C18*'ITS &amp; Connected Veh - Back Calc'!$K$91*((1+0.015)^14)</f>
        <v>5.5943875028753522</v>
      </c>
      <c r="W18" s="367">
        <f>C18*R18*'ITS &amp; Connected Veh - Back Calc'!$M$91*((1+0.015)^14)</f>
        <v>0.46214668428010774</v>
      </c>
      <c r="X18" s="367">
        <f>S18*C18*'ITS &amp; Connected Veh - Back Calc'!$L$91*((1+0.015)^14)</f>
        <v>33.983322343881056</v>
      </c>
      <c r="Y18" s="367">
        <f>T18*C18*'ITS &amp; Connected Veh - Back Calc'!$N$91*((1+0.015)^14)</f>
        <v>2160.8091869581885</v>
      </c>
      <c r="Z18" s="375">
        <f>U18*'Emission - Values'!$B$4+V18*'Emission - Values'!$B$5+W18*'Emission - Values'!$B$6+X18*'Emission - Values'!$C$17+Y18*'Emission - Values'!C41</f>
        <v>414644.67687274079</v>
      </c>
      <c r="AA18" s="371">
        <f t="shared" si="7"/>
        <v>7.4099999999999999E-2</v>
      </c>
      <c r="AB18" s="420">
        <f>AA18*C18*'ITS &amp; Connected Veh - Back Calc'!$O$91*((1+0.015)^14)</f>
        <v>831041.51129955461</v>
      </c>
      <c r="AC18" s="375">
        <f>AB18*'Fuel Savings - Values'!$B$4</f>
        <v>1869843.4004239978</v>
      </c>
      <c r="AD18" s="422">
        <f t="shared" si="8"/>
        <v>30699357.421091564</v>
      </c>
      <c r="AE18" s="100"/>
      <c r="AF18" s="100"/>
      <c r="AG18" s="100"/>
      <c r="AH18" s="100"/>
      <c r="AI18" s="100"/>
      <c r="AJ18" s="232"/>
    </row>
    <row r="19" spans="1:36" x14ac:dyDescent="0.25">
      <c r="A19" s="344">
        <v>2030</v>
      </c>
      <c r="B19" s="89">
        <v>8</v>
      </c>
      <c r="C19" s="370">
        <v>0.62</v>
      </c>
      <c r="D19" s="371">
        <f t="shared" si="1"/>
        <v>0.155</v>
      </c>
      <c r="E19" s="368">
        <f>C19*D19*'ITS &amp; Connected Veh - Back Calc'!$G$91*((1+0.015)^15)</f>
        <v>1837763.5343186005</v>
      </c>
      <c r="F19" s="368">
        <f>C19*D19*'ITS &amp; Connected Veh - Back Calc'!$H$91*((1+0.015)^15)</f>
        <v>4417.171602843162</v>
      </c>
      <c r="G19" s="368">
        <f>C19*D19*'ITS &amp; Connected Veh - Back Calc'!$I$91*((1+0.015)^15)</f>
        <v>66759.939771553851</v>
      </c>
      <c r="H19" s="375">
        <f>E19*'Travel Time - Value'!$B$7+F19*'Travel Time - Value'!$B$10+G19*'Travel Time - Value'!$B$9</f>
        <v>27853342.152038995</v>
      </c>
      <c r="I19" s="371">
        <f t="shared" si="0"/>
        <v>0.496</v>
      </c>
      <c r="J19" s="357">
        <f>C19*I19*'ITS &amp; Connected Veh - Back Calc'!$R$8*((1+0.015)^15)</f>
        <v>356.93004704759483</v>
      </c>
      <c r="K19" s="357">
        <f>C19*I19*'ITS &amp; Connected Veh - Back Calc'!$S$8*((1+0.015)^15)</f>
        <v>28.520809441012709</v>
      </c>
      <c r="L19" s="357">
        <f>C19*I19*'ITS &amp; Connected Veh - Back Calc'!$T$8*((1+0.015)^15)</f>
        <v>4.430478844444476</v>
      </c>
      <c r="M19" s="357">
        <f>C19*I19*'ITS &amp; Connected Veh - Back Calc'!$U$8*((1+0.015)^15)</f>
        <v>0.79900070160155512</v>
      </c>
      <c r="N19" s="357">
        <f>C19*I19*'ITS &amp; Connected Veh - Back Calc'!$V$8*((1+0.015)^15)</f>
        <v>0.24835696773790375</v>
      </c>
      <c r="O19" s="376">
        <f>J19*'KABCO Level - Values'!$B$4+K19*'KABCO Level - Values'!$B$5+L19*'KABCO Level - Values'!$B$6+M19*'KABCO Level - Values'!$B$7+N19*'KABCO Level - Values'!$B$8</f>
        <v>6269513.8417777251</v>
      </c>
      <c r="P19" s="371">
        <f t="shared" si="2"/>
        <v>6.7517999999999995E-2</v>
      </c>
      <c r="Q19" s="369">
        <f t="shared" si="3"/>
        <v>9.6161999999999997E-2</v>
      </c>
      <c r="R19" s="369">
        <f t="shared" si="4"/>
        <v>0.11835799999999999</v>
      </c>
      <c r="S19" s="369">
        <f t="shared" si="5"/>
        <v>8.2026000000000002E-2</v>
      </c>
      <c r="T19" s="369">
        <f t="shared" si="6"/>
        <v>4.061E-2</v>
      </c>
      <c r="U19" s="367">
        <f>P19*C19*'ITS &amp; Connected Veh - Back Calc'!$J$91*((1+0.015)^15)</f>
        <v>1.6133341529704865</v>
      </c>
      <c r="V19" s="367">
        <f>Q19*C19*'ITS &amp; Connected Veh - Back Calc'!$K$91*((1+0.015)^15)</f>
        <v>6.7181895797071851</v>
      </c>
      <c r="W19" s="367">
        <f>C19*R19*'ITS &amp; Connected Veh - Back Calc'!$M$91*((1+0.015)^15)</f>
        <v>0.55498283539191307</v>
      </c>
      <c r="X19" s="367">
        <f>S19*C19*'ITS &amp; Connected Veh - Back Calc'!$L$91*((1+0.015)^15)</f>
        <v>40.809901340790077</v>
      </c>
      <c r="Y19" s="367">
        <f>T19*C19*'ITS &amp; Connected Veh - Back Calc'!$N$91*((1+0.015)^15)</f>
        <v>2594.8731216950714</v>
      </c>
      <c r="Z19" s="375">
        <f>U19*'Emission - Values'!$B$4+V19*'Emission - Values'!$B$5+W19*'Emission - Values'!$B$6+X19*'Emission - Values'!$C$17+Y19*'Emission - Values'!C42</f>
        <v>499910.45595568942</v>
      </c>
      <c r="AA19" s="371">
        <f t="shared" si="7"/>
        <v>8.0600000000000005E-2</v>
      </c>
      <c r="AB19" s="420">
        <f>AA19*C19*'ITS &amp; Connected Veh - Back Calc'!$O$91*((1+0.015)^15)</f>
        <v>997981.35517913837</v>
      </c>
      <c r="AC19" s="375">
        <f>AB19*'Fuel Savings - Values'!$B$4</f>
        <v>2245458.0491530611</v>
      </c>
      <c r="AD19" s="422">
        <f t="shared" si="8"/>
        <v>36868224.49892547</v>
      </c>
      <c r="AE19" s="100"/>
      <c r="AF19" s="100"/>
      <c r="AG19" s="100"/>
      <c r="AH19" s="100"/>
      <c r="AI19" s="100"/>
      <c r="AJ19" s="232"/>
    </row>
    <row r="20" spans="1:36" x14ac:dyDescent="0.25">
      <c r="A20" s="344">
        <v>2031</v>
      </c>
      <c r="B20" s="89">
        <v>9</v>
      </c>
      <c r="C20" s="370">
        <v>0.67</v>
      </c>
      <c r="D20" s="371">
        <f t="shared" si="1"/>
        <v>0.16750000000000001</v>
      </c>
      <c r="E20" s="368">
        <f>C20*D20*'ITS &amp; Connected Veh - Back Calc'!$G$91*((1+0.015)^16)</f>
        <v>2178321.1012329715</v>
      </c>
      <c r="F20" s="368">
        <f>C20*D20*'ITS &amp; Connected Veh - Back Calc'!$H$91*((1+0.015)^16)</f>
        <v>5235.7215335693027</v>
      </c>
      <c r="G20" s="368">
        <f>C20*D20*'ITS &amp; Connected Veh - Back Calc'!$I$91*((1+0.015)^16)</f>
        <v>79131.282564782217</v>
      </c>
      <c r="H20" s="375">
        <f>E20*'Travel Time - Value'!$B$7+F20*'Travel Time - Value'!$B$10+G20*'Travel Time - Value'!$B$9</f>
        <v>33014869.332546987</v>
      </c>
      <c r="I20" s="371">
        <f t="shared" si="0"/>
        <v>0.53600000000000003</v>
      </c>
      <c r="J20" s="357">
        <f>C20*I20*'ITS &amp; Connected Veh - Back Calc'!$R$8*((1+0.015)^16)</f>
        <v>423.07306605478743</v>
      </c>
      <c r="K20" s="357">
        <f>C20*I20*'ITS &amp; Connected Veh - Back Calc'!$S$8*((1+0.015)^16)</f>
        <v>33.806025568266563</v>
      </c>
      <c r="L20" s="357">
        <f>C20*I20*'ITS &amp; Connected Veh - Back Calc'!$T$8*((1+0.015)^16)</f>
        <v>5.2514947517434756</v>
      </c>
      <c r="M20" s="357">
        <f>C20*I20*'ITS &amp; Connected Veh - Back Calc'!$U$8*((1+0.015)^16)</f>
        <v>0.94706422001345514</v>
      </c>
      <c r="N20" s="357">
        <f>C20*I20*'ITS &amp; Connected Veh - Back Calc'!$V$8*((1+0.015)^16)</f>
        <v>0.29438021451563001</v>
      </c>
      <c r="O20" s="376">
        <f>J20*'KABCO Level - Values'!$B$4+K20*'KABCO Level - Values'!$B$5+L20*'KABCO Level - Values'!$B$6+M20*'KABCO Level - Values'!$B$7+N20*'KABCO Level - Values'!$B$8</f>
        <v>7431322.931913713</v>
      </c>
      <c r="P20" s="371">
        <f t="shared" si="2"/>
        <v>7.2963E-2</v>
      </c>
      <c r="Q20" s="369">
        <f t="shared" si="3"/>
        <v>0.103917</v>
      </c>
      <c r="R20" s="369">
        <f t="shared" si="4"/>
        <v>0.12790299999999999</v>
      </c>
      <c r="S20" s="369">
        <f t="shared" si="5"/>
        <v>8.8641000000000011E-2</v>
      </c>
      <c r="T20" s="369">
        <f t="shared" si="6"/>
        <v>4.3885000000000007E-2</v>
      </c>
      <c r="U20" s="367">
        <f>P20*C20*'ITS &amp; Connected Veh - Back Calc'!$J$91*((1+0.015)^16)</f>
        <v>1.9123025150558748</v>
      </c>
      <c r="V20" s="367">
        <f>Q20*C20*'ITS &amp; Connected Veh - Back Calc'!$K$91*((1+0.015)^16)</f>
        <v>7.9631431630216269</v>
      </c>
      <c r="W20" s="367">
        <f>C20*R20*'ITS &amp; Connected Veh - Back Calc'!$M$91*((1+0.015)^16)</f>
        <v>0.6578271897230521</v>
      </c>
      <c r="X20" s="367">
        <f>S20*C20*'ITS &amp; Connected Veh - Back Calc'!$L$91*((1+0.015)^16)</f>
        <v>48.372419829757746</v>
      </c>
      <c r="Y20" s="367">
        <f>T20*C20*'ITS &amp; Connected Veh - Back Calc'!$N$91*((1+0.015)^16)</f>
        <v>3075.7313280277085</v>
      </c>
      <c r="Z20" s="375">
        <f>U20*'Emission - Values'!$B$4+V20*'Emission - Values'!$B$5+W20*'Emission - Values'!$B$6+X20*'Emission - Values'!$C$17+Y20*'Emission - Values'!C43</f>
        <v>601898.29245998687</v>
      </c>
      <c r="AA20" s="371">
        <f t="shared" si="7"/>
        <v>8.7100000000000011E-2</v>
      </c>
      <c r="AB20" s="420">
        <f>AA20*C20*'ITS &amp; Connected Veh - Back Calc'!$O$91*((1+0.015)^16)</f>
        <v>1182918.1524323982</v>
      </c>
      <c r="AC20" s="375">
        <f>AB20*'Fuel Savings - Values'!$B$4</f>
        <v>2661565.8429728961</v>
      </c>
      <c r="AD20" s="422">
        <f t="shared" si="8"/>
        <v>43709656.399893582</v>
      </c>
      <c r="AE20" s="100"/>
      <c r="AF20" s="100"/>
      <c r="AG20" s="100"/>
      <c r="AH20" s="100"/>
      <c r="AI20" s="100"/>
      <c r="AJ20" s="232"/>
    </row>
    <row r="21" spans="1:36" x14ac:dyDescent="0.25">
      <c r="A21" s="344">
        <v>2032</v>
      </c>
      <c r="B21" s="89">
        <v>10</v>
      </c>
      <c r="C21" s="370">
        <v>0.71</v>
      </c>
      <c r="D21" s="371">
        <f t="shared" si="1"/>
        <v>0.17749999999999999</v>
      </c>
      <c r="E21" s="368">
        <f>C21*D21*'ITS &amp; Connected Veh - Back Calc'!$G$91*((1+0.015)^17)</f>
        <v>2482876.0127835008</v>
      </c>
      <c r="F21" s="368">
        <f>C21*D21*'ITS &amp; Connected Veh - Back Calc'!$H$91*((1+0.015)^17)</f>
        <v>5967.7369869645108</v>
      </c>
      <c r="G21" s="368">
        <f>C21*D21*'ITS &amp; Connected Veh - Back Calc'!$I$91*((1+0.015)^17)</f>
        <v>90194.766616218083</v>
      </c>
      <c r="H21" s="375">
        <f>E21*'Travel Time - Value'!$B$7+F21*'Travel Time - Value'!$B$10+G21*'Travel Time - Value'!$B$9</f>
        <v>37630736.388939589</v>
      </c>
      <c r="I21" s="371">
        <f t="shared" si="0"/>
        <v>0.56799999999999995</v>
      </c>
      <c r="J21" s="357">
        <f>C21*I21*'ITS &amp; Connected Veh - Back Calc'!$R$8*((1+0.015)^17)</f>
        <v>482.22365691065164</v>
      </c>
      <c r="K21" s="357">
        <f>C21*I21*'ITS &amp; Connected Veh - Back Calc'!$S$8*((1+0.015)^17)</f>
        <v>38.532505572059726</v>
      </c>
      <c r="L21" s="357">
        <f>C21*I21*'ITS &amp; Connected Veh - Back Calc'!$T$8*((1+0.015)^17)</f>
        <v>5.9857154865653674</v>
      </c>
      <c r="M21" s="357">
        <f>C21*I21*'ITS &amp; Connected Veh - Back Calc'!$U$8*((1+0.015)^17)</f>
        <v>1.0794749374212838</v>
      </c>
      <c r="N21" s="357">
        <f>C21*I21*'ITS &amp; Connected Veh - Back Calc'!$V$8*((1+0.015)^17)</f>
        <v>0.33553803103004887</v>
      </c>
      <c r="O21" s="376">
        <f>J21*'KABCO Level - Values'!$B$4+K21*'KABCO Level - Values'!$B$5+L21*'KABCO Level - Values'!$B$6+M21*'KABCO Level - Values'!$B$7+N21*'KABCO Level - Values'!$B$8</f>
        <v>8470309.2856479529</v>
      </c>
      <c r="P21" s="371">
        <f t="shared" si="2"/>
        <v>7.7318999999999999E-2</v>
      </c>
      <c r="Q21" s="369">
        <f t="shared" si="3"/>
        <v>0.11012099999999998</v>
      </c>
      <c r="R21" s="369">
        <f t="shared" si="4"/>
        <v>0.13553899999999999</v>
      </c>
      <c r="S21" s="369">
        <f t="shared" si="5"/>
        <v>9.3933000000000003E-2</v>
      </c>
      <c r="T21" s="369">
        <f t="shared" si="6"/>
        <v>4.6504999999999998E-2</v>
      </c>
      <c r="U21" s="367">
        <f>P21*C21*'ITS &amp; Connected Veh - Back Calc'!$J$91*((1+0.015)^17)</f>
        <v>2.1796648993255987</v>
      </c>
      <c r="V21" s="367">
        <f>Q21*C21*'ITS &amp; Connected Veh - Back Calc'!$K$91*((1+0.015)^17)</f>
        <v>9.0764842403795711</v>
      </c>
      <c r="W21" s="367">
        <f>C21*R21*'ITS &amp; Connected Veh - Back Calc'!$M$91*((1+0.015)^17)</f>
        <v>0.74979916826571902</v>
      </c>
      <c r="X21" s="367">
        <f>S21*C21*'ITS &amp; Connected Veh - Back Calc'!$L$91*((1+0.015)^17)</f>
        <v>55.135453082476239</v>
      </c>
      <c r="Y21" s="367">
        <f>T21*C21*'ITS &amp; Connected Veh - Back Calc'!$N$91*((1+0.015)^17)</f>
        <v>3505.7547446995959</v>
      </c>
      <c r="Z21" s="375">
        <f>U21*'Emission - Values'!$B$4+V21*'Emission - Values'!$B$5+W21*'Emission - Values'!$B$6+X21*'Emission - Values'!$C$17+Y21*'Emission - Values'!C44</f>
        <v>696706.84544681723</v>
      </c>
      <c r="AA21" s="371">
        <f t="shared" si="7"/>
        <v>9.2299999999999993E-2</v>
      </c>
      <c r="AB21" s="420">
        <f>AA21*C21*'ITS &amp; Connected Veh - Back Calc'!$O$91*((1+0.015)^17)</f>
        <v>1348304.0237264186</v>
      </c>
      <c r="AC21" s="375">
        <f>AB21*'Fuel Savings - Values'!$B$4</f>
        <v>3033684.0533844419</v>
      </c>
      <c r="AD21" s="422">
        <f t="shared" si="8"/>
        <v>49831436.573418804</v>
      </c>
      <c r="AE21" s="100"/>
      <c r="AF21" s="100"/>
      <c r="AG21" s="100"/>
      <c r="AH21" s="100"/>
      <c r="AI21" s="100"/>
      <c r="AJ21" s="232"/>
    </row>
    <row r="22" spans="1:36" x14ac:dyDescent="0.25">
      <c r="A22" s="344">
        <v>2033</v>
      </c>
      <c r="B22" s="89">
        <v>11</v>
      </c>
      <c r="C22" s="370">
        <v>0.75</v>
      </c>
      <c r="D22" s="371">
        <f t="shared" si="1"/>
        <v>0.1875</v>
      </c>
      <c r="E22" s="368">
        <f>C22*D22*'ITS &amp; Connected Veh - Back Calc'!$G$91*((1+0.015)^18)</f>
        <v>2812075.0318361036</v>
      </c>
      <c r="F22" s="368">
        <f>C22*D22*'ITS &amp; Connected Veh - Back Calc'!$H$91*((1+0.015)^18)</f>
        <v>6758.9859868975409</v>
      </c>
      <c r="G22" s="368">
        <f>C22*D22*'ITS &amp; Connected Veh - Back Calc'!$I$91*((1+0.015)^18)</f>
        <v>102153.49050773063</v>
      </c>
      <c r="H22" s="375">
        <f>E22*'Travel Time - Value'!$B$7+F22*'Travel Time - Value'!$B$10+G22*'Travel Time - Value'!$B$9</f>
        <v>42620112.194128536</v>
      </c>
      <c r="I22" s="371">
        <f t="shared" si="0"/>
        <v>0.60000000000000009</v>
      </c>
      <c r="J22" s="357">
        <f>C22*I22*'ITS &amp; Connected Veh - Back Calc'!$R$8*((1+0.015)^18)</f>
        <v>546.16062114149031</v>
      </c>
      <c r="K22" s="357">
        <f>C22*I22*'ITS &amp; Connected Veh - Back Calc'!$S$8*((1+0.015)^18)</f>
        <v>43.641444951493469</v>
      </c>
      <c r="L22" s="357">
        <f>C22*I22*'ITS &amp; Connected Veh - Back Calc'!$T$8*((1+0.015)^18)</f>
        <v>6.7793482158518446</v>
      </c>
      <c r="M22" s="357">
        <f>C22*I22*'ITS &amp; Connected Veh - Back Calc'!$U$8*((1+0.015)^18)</f>
        <v>1.2226001231580328</v>
      </c>
      <c r="N22" s="357">
        <f>C22*I22*'ITS &amp; Connected Veh - Back Calc'!$V$8*((1+0.015)^18)</f>
        <v>0.3800262737377873</v>
      </c>
      <c r="O22" s="376">
        <f>J22*'KABCO Level - Values'!$B$4+K22*'KABCO Level - Values'!$B$5+L22*'KABCO Level - Values'!$B$6+M22*'KABCO Level - Values'!$B$7+N22*'KABCO Level - Values'!$B$8</f>
        <v>9593368.791459294</v>
      </c>
      <c r="P22" s="371">
        <f t="shared" si="2"/>
        <v>8.1674999999999998E-2</v>
      </c>
      <c r="Q22" s="369">
        <f t="shared" si="3"/>
        <v>0.11632499999999998</v>
      </c>
      <c r="R22" s="369">
        <f t="shared" si="4"/>
        <v>0.143175</v>
      </c>
      <c r="S22" s="369">
        <f t="shared" si="5"/>
        <v>9.9225000000000008E-2</v>
      </c>
      <c r="T22" s="369">
        <f t="shared" si="6"/>
        <v>4.9125000000000002E-2</v>
      </c>
      <c r="U22" s="367">
        <f>P22*C22*'ITS &amp; Connected Veh - Back Calc'!$J$91*((1+0.015)^18)</f>
        <v>2.4686618299121381</v>
      </c>
      <c r="V22" s="367">
        <f>Q22*C22*'ITS &amp; Connected Veh - Back Calc'!$K$91*((1+0.015)^18)</f>
        <v>10.279915137853026</v>
      </c>
      <c r="W22" s="367">
        <f>C22*R22*'ITS &amp; Connected Veh - Back Calc'!$M$91*((1+0.015)^18)</f>
        <v>0.8492133755836323</v>
      </c>
      <c r="X22" s="367">
        <f>S22*C22*'ITS &amp; Connected Veh - Back Calc'!$L$91*((1+0.015)^18)</f>
        <v>62.445740417132079</v>
      </c>
      <c r="Y22" s="367">
        <f>T22*C22*'ITS &amp; Connected Veh - Back Calc'!$N$91*((1+0.015)^18)</f>
        <v>3970.5749842331397</v>
      </c>
      <c r="Z22" s="375">
        <f>U22*'Emission - Values'!$B$4+V22*'Emission - Values'!$B$5+W22*'Emission - Values'!$B$6+X22*'Emission - Values'!$C$17+Y22*'Emission - Values'!C45</f>
        <v>801150.61925846117</v>
      </c>
      <c r="AA22" s="371">
        <f t="shared" si="7"/>
        <v>9.7500000000000003E-2</v>
      </c>
      <c r="AB22" s="420">
        <f>AA22*C22*'ITS &amp; Connected Veh - Back Calc'!$O$91*((1+0.015)^18)</f>
        <v>1527072.6612701886</v>
      </c>
      <c r="AC22" s="375">
        <f>AB22*'Fuel Savings - Values'!$B$4</f>
        <v>3435913.4878579243</v>
      </c>
      <c r="AD22" s="422">
        <f t="shared" si="8"/>
        <v>56450545.092704214</v>
      </c>
      <c r="AE22" s="100"/>
      <c r="AF22" s="100"/>
      <c r="AG22" s="100"/>
      <c r="AH22" s="100"/>
      <c r="AI22" s="100"/>
      <c r="AJ22" s="232"/>
    </row>
    <row r="23" spans="1:36" x14ac:dyDescent="0.25">
      <c r="A23" s="344">
        <v>2034</v>
      </c>
      <c r="B23" s="89">
        <v>12</v>
      </c>
      <c r="C23" s="370">
        <v>0.79</v>
      </c>
      <c r="D23" s="371">
        <f t="shared" si="1"/>
        <v>0.19750000000000001</v>
      </c>
      <c r="E23" s="368">
        <f>C23*D23*'ITS &amp; Connected Veh - Back Calc'!$G$91*((1+0.015)^19)</f>
        <v>3166828.9204967935</v>
      </c>
      <c r="F23" s="368">
        <f>C23*D23*'ITS &amp; Connected Veh - Back Calc'!$H$91*((1+0.015)^19)</f>
        <v>7611.6576030917277</v>
      </c>
      <c r="G23" s="368">
        <f>C23*D23*'ITS &amp; Connected Veh - Back Calc'!$I$91*((1+0.015)^19)</f>
        <v>115040.53924846722</v>
      </c>
      <c r="H23" s="375">
        <f>E23*'Travel Time - Value'!$B$7+F23*'Travel Time - Value'!$B$10+G23*'Travel Time - Value'!$B$9</f>
        <v>47996800.356730588</v>
      </c>
      <c r="I23" s="371">
        <f t="shared" si="0"/>
        <v>0.63200000000000012</v>
      </c>
      <c r="J23" s="357">
        <f>C23*I23*'ITS &amp; Connected Veh - Back Calc'!$R$8*((1+0.015)^19)</f>
        <v>615.0608467719469</v>
      </c>
      <c r="K23" s="357">
        <f>C23*I23*'ITS &amp; Connected Veh - Back Calc'!$S$8*((1+0.015)^19)</f>
        <v>49.146978099805295</v>
      </c>
      <c r="L23" s="357">
        <f>C23*I23*'ITS &amp; Connected Veh - Back Calc'!$T$8*((1+0.015)^19)</f>
        <v>7.6345886041525937</v>
      </c>
      <c r="M23" s="357">
        <f>C23*I23*'ITS &amp; Connected Veh - Back Calc'!$U$8*((1+0.015)^19)</f>
        <v>1.3768357474059951</v>
      </c>
      <c r="N23" s="357">
        <f>C23*I23*'ITS &amp; Connected Veh - Back Calc'!$V$8*((1+0.015)^19)</f>
        <v>0.42796802382462107</v>
      </c>
      <c r="O23" s="376">
        <f>J23*'KABCO Level - Values'!$B$4+K23*'KABCO Level - Values'!$B$5+L23*'KABCO Level - Values'!$B$6+M23*'KABCO Level - Values'!$B$7+N23*'KABCO Level - Values'!$B$8</f>
        <v>10803608.506117318</v>
      </c>
      <c r="P23" s="371">
        <f t="shared" si="2"/>
        <v>8.6030999999999996E-2</v>
      </c>
      <c r="Q23" s="369">
        <f t="shared" si="3"/>
        <v>0.122529</v>
      </c>
      <c r="R23" s="369">
        <f t="shared" si="4"/>
        <v>0.150811</v>
      </c>
      <c r="S23" s="369">
        <f t="shared" si="5"/>
        <v>0.104517</v>
      </c>
      <c r="T23" s="369">
        <f t="shared" si="6"/>
        <v>5.1745000000000006E-2</v>
      </c>
      <c r="U23" s="367">
        <f>P23*C23*'ITS &amp; Connected Veh - Back Calc'!$J$91*((1+0.015)^19)</f>
        <v>2.7800928458113563</v>
      </c>
      <c r="V23" s="367">
        <f>Q23*C23*'ITS &amp; Connected Veh - Back Calc'!$K$91*((1+0.015)^19)</f>
        <v>11.576765267728153</v>
      </c>
      <c r="W23" s="367">
        <f>C23*R23*'ITS &amp; Connected Veh - Back Calc'!$M$91*((1+0.015)^19)</f>
        <v>0.95634485105292633</v>
      </c>
      <c r="X23" s="367">
        <f>S23*C23*'ITS &amp; Connected Veh - Back Calc'!$L$91*((1+0.015)^19)</f>
        <v>70.32350647688375</v>
      </c>
      <c r="Y23" s="367">
        <f>T23*C23*'ITS &amp; Connected Veh - Back Calc'!$N$91*((1+0.015)^19)</f>
        <v>4471.4780184440906</v>
      </c>
      <c r="Z23" s="375">
        <f>U23*'Emission - Values'!$B$4+V23*'Emission - Values'!$B$5+W23*'Emission - Values'!$B$6+X23*'Emission - Values'!$C$17+Y23*'Emission - Values'!C46</f>
        <v>915810.30103178485</v>
      </c>
      <c r="AA23" s="371">
        <f t="shared" si="7"/>
        <v>0.10270000000000001</v>
      </c>
      <c r="AB23" s="420">
        <f>AA23*C23*'ITS &amp; Connected Veh - Back Calc'!$O$91*((1+0.015)^19)</f>
        <v>1719718.6464305879</v>
      </c>
      <c r="AC23" s="375">
        <f>AB23*'Fuel Savings - Values'!$B$4</f>
        <v>3869366.9544688226</v>
      </c>
      <c r="AD23" s="422">
        <f t="shared" si="8"/>
        <v>63585586.118348509</v>
      </c>
      <c r="AE23" s="100"/>
      <c r="AF23" s="100"/>
      <c r="AG23" s="100"/>
      <c r="AH23" s="100"/>
      <c r="AI23" s="100"/>
      <c r="AJ23" s="232"/>
    </row>
    <row r="24" spans="1:36" x14ac:dyDescent="0.25">
      <c r="A24" s="344">
        <v>2035</v>
      </c>
      <c r="B24" s="89">
        <v>13</v>
      </c>
      <c r="C24" s="370">
        <v>0.82</v>
      </c>
      <c r="D24" s="371">
        <f t="shared" si="1"/>
        <v>0.20499999999999999</v>
      </c>
      <c r="E24" s="368">
        <f>C24*D24*'ITS &amp; Connected Veh - Back Calc'!$G$91*((1+0.015)^20)</f>
        <v>3463093.0982761947</v>
      </c>
      <c r="F24" s="368">
        <f>C24*D24*'ITS &amp; Connected Veh - Back Calc'!$H$91*((1+0.015)^20)</f>
        <v>8323.7457953912144</v>
      </c>
      <c r="G24" s="368">
        <f>C24*D24*'ITS &amp; Connected Veh - Back Calc'!$I$91*((1+0.015)^20)</f>
        <v>125802.84805244248</v>
      </c>
      <c r="H24" s="375">
        <f>E24*'Travel Time - Value'!$B$7+F24*'Travel Time - Value'!$B$10+G24*'Travel Time - Value'!$B$9</f>
        <v>52487012.15873035</v>
      </c>
      <c r="I24" s="371">
        <f t="shared" si="0"/>
        <v>0.65600000000000003</v>
      </c>
      <c r="J24" s="357">
        <f>C24*I24*'ITS &amp; Connected Veh - Back Calc'!$R$8*((1+0.015)^20)</f>
        <v>672.6012130588025</v>
      </c>
      <c r="K24" s="357">
        <f>C24*I24*'ITS &amp; Connected Veh - Back Calc'!$S$8*((1+0.015)^20)</f>
        <v>53.744791692715417</v>
      </c>
      <c r="L24" s="357">
        <f>C24*I24*'ITS &amp; Connected Veh - Back Calc'!$T$8*((1+0.015)^20)</f>
        <v>8.3488220446942538</v>
      </c>
      <c r="M24" s="357">
        <f>C24*I24*'ITS &amp; Connected Veh - Back Calc'!$U$8*((1+0.015)^20)</f>
        <v>1.505641919410555</v>
      </c>
      <c r="N24" s="357">
        <f>C24*I24*'ITS &amp; Connected Veh - Back Calc'!$V$8*((1+0.015)^20)</f>
        <v>0.46800542334236528</v>
      </c>
      <c r="O24" s="376">
        <f>J24*'KABCO Level - Values'!$B$4+K24*'KABCO Level - Values'!$B$5+L24*'KABCO Level - Values'!$B$6+M24*'KABCO Level - Values'!$B$7+N24*'KABCO Level - Values'!$B$8</f>
        <v>11814311.095827557</v>
      </c>
      <c r="P24" s="371">
        <f t="shared" si="2"/>
        <v>8.9297999999999988E-2</v>
      </c>
      <c r="Q24" s="369">
        <f t="shared" si="3"/>
        <v>0.12718199999999999</v>
      </c>
      <c r="R24" s="369">
        <f t="shared" si="4"/>
        <v>0.15653799999999998</v>
      </c>
      <c r="S24" s="369">
        <f t="shared" si="5"/>
        <v>0.108486</v>
      </c>
      <c r="T24" s="369">
        <f t="shared" si="6"/>
        <v>5.3710000000000001E-2</v>
      </c>
      <c r="U24" s="367">
        <f>P24*C24*'ITS &amp; Connected Veh - Back Calc'!$J$91*((1+0.015)^20)</f>
        <v>3.0401769683807216</v>
      </c>
      <c r="V24" s="367">
        <f>Q24*C24*'ITS &amp; Connected Veh - Back Calc'!$K$91*((1+0.015)^20)</f>
        <v>12.659798462603289</v>
      </c>
      <c r="W24" s="367">
        <f>C24*R24*'ITS &amp; Connected Veh - Back Calc'!$M$91*((1+0.015)^20)</f>
        <v>1.0458131261267538</v>
      </c>
      <c r="X24" s="367">
        <f>S24*C24*'ITS &amp; Connected Veh - Back Calc'!$L$91*((1+0.015)^20)</f>
        <v>76.90243333020743</v>
      </c>
      <c r="Y24" s="367">
        <f>T24*C24*'ITS &amp; Connected Veh - Back Calc'!$N$91*((1+0.015)^20)</f>
        <v>4889.7951400349821</v>
      </c>
      <c r="Z24" s="375">
        <f>U24*'Emission - Values'!$B$4+V24*'Emission - Values'!$B$5+W24*'Emission - Values'!$B$6+X24*'Emission - Values'!$C$17+Y24*'Emission - Values'!C47</f>
        <v>1016349.4964077598</v>
      </c>
      <c r="AA24" s="371">
        <f t="shared" si="7"/>
        <v>0.1066</v>
      </c>
      <c r="AB24" s="420">
        <f>AA24*C24*'ITS &amp; Connected Veh - Back Calc'!$O$91*((1+0.015)^20)</f>
        <v>1880602.3075273603</v>
      </c>
      <c r="AC24" s="375">
        <f>AB24*'Fuel Savings - Values'!$B$4</f>
        <v>4231355.1919365609</v>
      </c>
      <c r="AD24" s="422">
        <f t="shared" si="8"/>
        <v>69549027.942902237</v>
      </c>
      <c r="AE24" s="100"/>
      <c r="AF24" s="100"/>
      <c r="AG24" s="100"/>
      <c r="AH24" s="100"/>
      <c r="AI24" s="100"/>
      <c r="AJ24" s="232"/>
    </row>
    <row r="25" spans="1:36" x14ac:dyDescent="0.25">
      <c r="A25" s="344">
        <v>2036</v>
      </c>
      <c r="B25" s="89">
        <v>14</v>
      </c>
      <c r="C25" s="370">
        <v>0.85</v>
      </c>
      <c r="D25" s="371">
        <f t="shared" si="1"/>
        <v>0.21249999999999999</v>
      </c>
      <c r="E25" s="368">
        <f>C25*D25*'ITS &amp; Connected Veh - Back Calc'!$G$91*((1+0.015)^21)</f>
        <v>3776942.3482408072</v>
      </c>
      <c r="F25" s="368">
        <f>C25*D25*'ITS &amp; Connected Veh - Back Calc'!$H$91*((1+0.015)^21)</f>
        <v>9078.100732045963</v>
      </c>
      <c r="G25" s="368">
        <f>C25*D25*'ITS &amp; Connected Veh - Back Calc'!$I$91*((1+0.015)^21)</f>
        <v>137203.9650262612</v>
      </c>
      <c r="H25" s="375">
        <f>E25*'Travel Time - Value'!$B$7+F25*'Travel Time - Value'!$B$10+G25*'Travel Time - Value'!$B$9</f>
        <v>57243745.209626593</v>
      </c>
      <c r="I25" s="371">
        <f t="shared" si="0"/>
        <v>0.68</v>
      </c>
      <c r="J25" s="357">
        <f>C25*I25*'ITS &amp; Connected Veh - Back Calc'!$R$8*((1+0.015)^21)</f>
        <v>733.55694836631426</v>
      </c>
      <c r="K25" s="357">
        <f>C25*I25*'ITS &amp; Connected Veh - Back Calc'!$S$8*((1+0.015)^21)</f>
        <v>58.61551335210693</v>
      </c>
      <c r="L25" s="357">
        <f>C25*I25*'ITS &amp; Connected Veh - Back Calc'!$T$8*((1+0.015)^21)</f>
        <v>9.1054495630591497</v>
      </c>
      <c r="M25" s="357">
        <f>C25*I25*'ITS &amp; Connected Veh - Back Calc'!$U$8*((1+0.015)^21)</f>
        <v>1.6420935173642741</v>
      </c>
      <c r="N25" s="357">
        <f>C25*I25*'ITS &amp; Connected Veh - Back Calc'!$V$8*((1+0.015)^21)</f>
        <v>0.51041928486069577</v>
      </c>
      <c r="O25" s="376">
        <f>J25*'KABCO Level - Values'!$B$4+K25*'KABCO Level - Values'!$B$5+L25*'KABCO Level - Values'!$B$6+M25*'KABCO Level - Values'!$B$7+N25*'KABCO Level - Values'!$B$8</f>
        <v>12885005.001838852</v>
      </c>
      <c r="P25" s="371">
        <f t="shared" si="2"/>
        <v>9.2564999999999995E-2</v>
      </c>
      <c r="Q25" s="369">
        <f t="shared" si="3"/>
        <v>0.13183499999999998</v>
      </c>
      <c r="R25" s="369">
        <f t="shared" si="4"/>
        <v>0.16226499999999999</v>
      </c>
      <c r="S25" s="369">
        <f t="shared" si="5"/>
        <v>0.112455</v>
      </c>
      <c r="T25" s="369">
        <f t="shared" si="6"/>
        <v>5.5675000000000002E-2</v>
      </c>
      <c r="U25" s="367">
        <f>P25*C25*'ITS &amp; Connected Veh - Back Calc'!$J$91*((1+0.015)^21)</f>
        <v>3.3156986578671881</v>
      </c>
      <c r="V25" s="367">
        <f>Q25*C25*'ITS &amp; Connected Veh - Back Calc'!$K$91*((1+0.015)^21)</f>
        <v>13.807116233000205</v>
      </c>
      <c r="W25" s="367">
        <f>C25*R25*'ITS &amp; Connected Veh - Back Calc'!$M$91*((1+0.015)^21)</f>
        <v>1.1405918848616574</v>
      </c>
      <c r="X25" s="367">
        <f>S25*C25*'ITS &amp; Connected Veh - Back Calc'!$L$91*((1+0.015)^21)</f>
        <v>83.871859313341744</v>
      </c>
      <c r="Y25" s="367">
        <f>T25*C25*'ITS &amp; Connected Veh - Back Calc'!$N$91*((1+0.015)^21)</f>
        <v>5332.941914790903</v>
      </c>
      <c r="Z25" s="375">
        <f>U25*'Emission - Values'!$B$4+V25*'Emission - Values'!$B$5+W25*'Emission - Values'!$B$6+X25*'Emission - Values'!$C$17+Y25*'Emission - Values'!C48</f>
        <v>1124668.069170322</v>
      </c>
      <c r="AA25" s="371">
        <f t="shared" si="7"/>
        <v>0.1105</v>
      </c>
      <c r="AB25" s="420">
        <f>AA25*C25*'ITS &amp; Connected Veh - Back Calc'!$O$91*((1+0.015)^21)</f>
        <v>2051035.3877102106</v>
      </c>
      <c r="AC25" s="375">
        <f>AB25*'Fuel Savings - Values'!$B$4</f>
        <v>4614829.6223479742</v>
      </c>
      <c r="AD25" s="422">
        <f t="shared" si="8"/>
        <v>75868247.90298374</v>
      </c>
      <c r="AE25" s="100"/>
      <c r="AF25" s="100"/>
      <c r="AG25" s="100"/>
      <c r="AH25" s="100"/>
      <c r="AI25" s="100"/>
      <c r="AJ25" s="232"/>
    </row>
    <row r="26" spans="1:36" x14ac:dyDescent="0.25">
      <c r="A26" s="344">
        <v>2037</v>
      </c>
      <c r="B26" s="89">
        <v>15</v>
      </c>
      <c r="C26" s="370">
        <v>0.87</v>
      </c>
      <c r="D26" s="371">
        <f t="shared" si="1"/>
        <v>0.2175</v>
      </c>
      <c r="E26" s="368">
        <f>C26*D26*'ITS &amp; Connected Veh - Back Calc'!$G$91*((1+0.015)^22)</f>
        <v>4016123.4302203716</v>
      </c>
      <c r="F26" s="368">
        <f>C26*D26*'ITS &amp; Connected Veh - Back Calc'!$H$91*((1+0.015)^22)</f>
        <v>9652.9863816565703</v>
      </c>
      <c r="G26" s="368">
        <f>C26*D26*'ITS &amp; Connected Veh - Back Calc'!$I$91*((1+0.015)^22)</f>
        <v>145892.63161979619</v>
      </c>
      <c r="H26" s="375">
        <f>E26*'Travel Time - Value'!$B$7+F26*'Travel Time - Value'!$B$10+G26*'Travel Time - Value'!$B$9</f>
        <v>60868799.460766576</v>
      </c>
      <c r="I26" s="371">
        <f t="shared" si="0"/>
        <v>0.69600000000000006</v>
      </c>
      <c r="J26" s="357">
        <f>C26*I26*'ITS &amp; Connected Veh - Back Calc'!$R$8*((1+0.015)^22)</f>
        <v>780.01064779479589</v>
      </c>
      <c r="K26" s="357">
        <f>C26*I26*'ITS &amp; Connected Veh - Back Calc'!$S$8*((1+0.015)^22)</f>
        <v>62.327437075505706</v>
      </c>
      <c r="L26" s="357">
        <f>C26*I26*'ITS &amp; Connected Veh - Back Calc'!$T$8*((1+0.015)^22)</f>
        <v>9.6820671223441686</v>
      </c>
      <c r="M26" s="357">
        <f>C26*I26*'ITS &amp; Connected Veh - Back Calc'!$U$8*((1+0.015)^22)</f>
        <v>1.7460817882939987</v>
      </c>
      <c r="N26" s="357">
        <f>C26*I26*'ITS &amp; Connected Veh - Back Calc'!$V$8*((1+0.015)^22)</f>
        <v>0.54274242499892933</v>
      </c>
      <c r="O26" s="376">
        <f>J26*'KABCO Level - Values'!$B$4+K26*'KABCO Level - Values'!$B$5+L26*'KABCO Level - Values'!$B$6+M26*'KABCO Level - Values'!$B$7+N26*'KABCO Level - Values'!$B$8</f>
        <v>13700969.121356679</v>
      </c>
      <c r="P26" s="371">
        <f t="shared" si="2"/>
        <v>9.4742999999999994E-2</v>
      </c>
      <c r="Q26" s="369">
        <f t="shared" si="3"/>
        <v>0.134937</v>
      </c>
      <c r="R26" s="369">
        <f t="shared" si="4"/>
        <v>0.16608299999999998</v>
      </c>
      <c r="S26" s="369">
        <f t="shared" si="5"/>
        <v>0.11510099999999999</v>
      </c>
      <c r="T26" s="369">
        <f t="shared" si="6"/>
        <v>5.6985000000000001E-2</v>
      </c>
      <c r="U26" s="367">
        <f>P26*C26*'ITS &amp; Connected Veh - Back Calc'!$J$91*((1+0.015)^22)</f>
        <v>3.5256707250543524</v>
      </c>
      <c r="V26" s="367">
        <f>Q26*C26*'ITS &amp; Connected Veh - Back Calc'!$K$91*((1+0.015)^22)</f>
        <v>14.681474561812074</v>
      </c>
      <c r="W26" s="367">
        <f>C26*R26*'ITS &amp; Connected Veh - Back Calc'!$M$91*((1+0.015)^22)</f>
        <v>1.2128217406457646</v>
      </c>
      <c r="X26" s="367">
        <f>S26*C26*'ITS &amp; Connected Veh - Back Calc'!$L$91*((1+0.015)^22)</f>
        <v>89.183182656030965</v>
      </c>
      <c r="Y26" s="367">
        <f>T26*C26*'ITS &amp; Connected Veh - Back Calc'!$N$91*((1+0.015)^22)</f>
        <v>5670.6592267609867</v>
      </c>
      <c r="Z26" s="375">
        <f>U26*'Emission - Values'!$B$4+V26*'Emission - Values'!$B$5+W26*'Emission - Values'!$B$6+X26*'Emission - Values'!$C$17+Y26*'Emission - Values'!C49</f>
        <v>1213126.058939077</v>
      </c>
      <c r="AA26" s="371">
        <f t="shared" si="7"/>
        <v>0.11310000000000001</v>
      </c>
      <c r="AB26" s="420">
        <f>AA26*C26*'ITS &amp; Connected Veh - Back Calc'!$O$91*((1+0.015)^22)</f>
        <v>2180920.5747158835</v>
      </c>
      <c r="AC26" s="375">
        <f>AB26*'Fuel Savings - Values'!$B$4</f>
        <v>4907071.2931107376</v>
      </c>
      <c r="AD26" s="422">
        <f t="shared" si="8"/>
        <v>80689965.934173077</v>
      </c>
      <c r="AE26" s="100"/>
      <c r="AF26" s="100"/>
      <c r="AG26" s="100"/>
      <c r="AH26" s="100"/>
      <c r="AI26" s="100"/>
      <c r="AJ26" s="232"/>
    </row>
    <row r="27" spans="1:36" x14ac:dyDescent="0.25">
      <c r="A27" s="344">
        <v>2038</v>
      </c>
      <c r="B27" s="89">
        <v>16</v>
      </c>
      <c r="C27" s="370">
        <v>0.89</v>
      </c>
      <c r="D27" s="371">
        <f t="shared" si="1"/>
        <v>0.2225</v>
      </c>
      <c r="E27" s="368">
        <f>C27*D27*'ITS &amp; Connected Veh - Back Calc'!$G$91*((1+0.015)^23)</f>
        <v>4265938.6175369527</v>
      </c>
      <c r="F27" s="368">
        <f>C27*D27*'ITS &amp; Connected Veh - Back Calc'!$H$91*((1+0.015)^23)</f>
        <v>10253.43172229333</v>
      </c>
      <c r="G27" s="368">
        <f>C27*D27*'ITS &amp; Connected Veh - Back Calc'!$I$91*((1+0.015)^23)</f>
        <v>154967.60048702758</v>
      </c>
      <c r="H27" s="375">
        <f>E27*'Travel Time - Value'!$B$7+F27*'Travel Time - Value'!$B$10+G27*'Travel Time - Value'!$B$9</f>
        <v>64655025.358259082</v>
      </c>
      <c r="I27" s="371">
        <f t="shared" si="0"/>
        <v>0.71200000000000008</v>
      </c>
      <c r="J27" s="357">
        <f>C27*I27*'ITS &amp; Connected Veh - Back Calc'!$R$8*((1+0.015)^23)</f>
        <v>828.52970092486692</v>
      </c>
      <c r="K27" s="357">
        <f>C27*I27*'ITS &amp; Connected Veh - Back Calc'!$S$8*((1+0.015)^23)</f>
        <v>66.204394703554883</v>
      </c>
      <c r="L27" s="357">
        <f>C27*I27*'ITS &amp; Connected Veh - Back Calc'!$T$8*((1+0.015)^23)</f>
        <v>10.284321374188067</v>
      </c>
      <c r="M27" s="357">
        <f>C27*I27*'ITS &amp; Connected Veh - Back Calc'!$U$8*((1+0.015)^23)</f>
        <v>1.8546934275007154</v>
      </c>
      <c r="N27" s="357">
        <f>C27*I27*'ITS &amp; Connected Veh - Back Calc'!$V$8*((1+0.015)^23)</f>
        <v>0.57650266741217693</v>
      </c>
      <c r="O27" s="376">
        <f>J27*'KABCO Level - Values'!$B$4+K27*'KABCO Level - Values'!$B$5+L27*'KABCO Level - Values'!$B$6+M27*'KABCO Level - Values'!$B$7+N27*'KABCO Level - Values'!$B$8</f>
        <v>14553211.396012716</v>
      </c>
      <c r="P27" s="371">
        <f t="shared" si="2"/>
        <v>9.6920999999999993E-2</v>
      </c>
      <c r="Q27" s="369">
        <f t="shared" si="3"/>
        <v>0.138039</v>
      </c>
      <c r="R27" s="369">
        <f t="shared" si="4"/>
        <v>0.169901</v>
      </c>
      <c r="S27" s="369">
        <f t="shared" si="5"/>
        <v>0.117747</v>
      </c>
      <c r="T27" s="369">
        <f t="shared" si="6"/>
        <v>5.8295000000000007E-2</v>
      </c>
      <c r="U27" s="367">
        <f>P27*C27*'ITS &amp; Connected Veh - Back Calc'!$J$91*((1+0.015)^23)</f>
        <v>3.7449782508062963</v>
      </c>
      <c r="V27" s="367">
        <f>Q27*C27*'ITS &amp; Connected Veh - Back Calc'!$K$91*((1+0.015)^23)</f>
        <v>15.594707280245094</v>
      </c>
      <c r="W27" s="367">
        <f>C27*R27*'ITS &amp; Connected Veh - Back Calc'!$M$91*((1+0.015)^23)</f>
        <v>1.2882629703752053</v>
      </c>
      <c r="X27" s="367">
        <f>S27*C27*'ITS &amp; Connected Veh - Back Calc'!$L$91*((1+0.015)^23)</f>
        <v>94.73064997565038</v>
      </c>
      <c r="Y27" s="367">
        <f>T27*C27*'ITS &amp; Connected Veh - Back Calc'!$N$91*((1+0.015)^23)</f>
        <v>6023.3916119964833</v>
      </c>
      <c r="Z27" s="375">
        <f>U27*'Emission - Values'!$B$4+V27*'Emission - Values'!$B$5+W27*'Emission - Values'!$B$6+X27*'Emission - Values'!$C$17+Y27*'Emission - Values'!C50</f>
        <v>1306894.9193429626</v>
      </c>
      <c r="AA27" s="371">
        <f t="shared" si="7"/>
        <v>0.11570000000000001</v>
      </c>
      <c r="AB27" s="420">
        <f>AA27*C27*'ITS &amp; Connected Veh - Back Calc'!$O$91*((1+0.015)^23)</f>
        <v>2316580.5192772341</v>
      </c>
      <c r="AC27" s="375">
        <f>AB27*'Fuel Savings - Values'!$B$4</f>
        <v>5212306.1683737766</v>
      </c>
      <c r="AD27" s="422">
        <f t="shared" si="8"/>
        <v>85727437.841988534</v>
      </c>
      <c r="AE27" s="100"/>
      <c r="AF27" s="100"/>
      <c r="AG27" s="100"/>
      <c r="AH27" s="100"/>
      <c r="AI27" s="100"/>
      <c r="AJ27" s="232"/>
    </row>
    <row r="28" spans="1:36" x14ac:dyDescent="0.25">
      <c r="A28" s="344">
        <v>2039</v>
      </c>
      <c r="B28" s="89">
        <v>17</v>
      </c>
      <c r="C28" s="370">
        <v>0.91</v>
      </c>
      <c r="D28" s="371">
        <f t="shared" si="1"/>
        <v>0.22750000000000001</v>
      </c>
      <c r="E28" s="368">
        <f>C28*D28*'ITS &amp; Connected Veh - Back Calc'!$G$91*((1+0.015)^24)</f>
        <v>4526717.7448808057</v>
      </c>
      <c r="F28" s="368">
        <f>C28*D28*'ITS &amp; Connected Veh - Back Calc'!$H$91*((1+0.015)^24)</f>
        <v>10880.229530828901</v>
      </c>
      <c r="G28" s="368">
        <f>C28*D28*'ITS &amp; Connected Veh - Back Calc'!$I$91*((1+0.015)^24)</f>
        <v>164440.85344370297</v>
      </c>
      <c r="H28" s="375">
        <f>E28*'Travel Time - Value'!$B$7+F28*'Travel Time - Value'!$B$10+G28*'Travel Time - Value'!$B$9</f>
        <v>68607421.912210539</v>
      </c>
      <c r="I28" s="371">
        <f t="shared" si="0"/>
        <v>0.72800000000000009</v>
      </c>
      <c r="J28" s="357">
        <f>C28*I28*'ITS &amp; Connected Veh - Back Calc'!$R$8*((1+0.015)^24)</f>
        <v>879.17816818068457</v>
      </c>
      <c r="K28" s="357">
        <f>C28*I28*'ITS &amp; Connected Veh - Back Calc'!$S$8*((1+0.015)^24)</f>
        <v>70.25150504080797</v>
      </c>
      <c r="L28" s="357">
        <f>C28*I28*'ITS &amp; Connected Veh - Back Calc'!$T$8*((1+0.015)^24)</f>
        <v>10.91300748379575</v>
      </c>
      <c r="M28" s="357">
        <f>C28*I28*'ITS &amp; Connected Veh - Back Calc'!$U$8*((1+0.015)^24)</f>
        <v>1.9680718365396317</v>
      </c>
      <c r="N28" s="357">
        <f>C28*I28*'ITS &amp; Connected Veh - Back Calc'!$V$8*((1+0.015)^24)</f>
        <v>0.61174458624830697</v>
      </c>
      <c r="O28" s="376">
        <f>J28*'KABCO Level - Values'!$B$4+K28*'KABCO Level - Values'!$B$5+L28*'KABCO Level - Values'!$B$6+M28*'KABCO Level - Values'!$B$7+N28*'KABCO Level - Values'!$B$8</f>
        <v>15442857.053899381</v>
      </c>
      <c r="P28" s="371">
        <f t="shared" si="2"/>
        <v>9.9099000000000007E-2</v>
      </c>
      <c r="Q28" s="369">
        <f t="shared" si="3"/>
        <v>0.14114099999999999</v>
      </c>
      <c r="R28" s="369">
        <f t="shared" si="4"/>
        <v>0.17371899999999998</v>
      </c>
      <c r="S28" s="369">
        <f t="shared" si="5"/>
        <v>0.120393</v>
      </c>
      <c r="T28" s="369">
        <f t="shared" si="6"/>
        <v>5.9605000000000005E-2</v>
      </c>
      <c r="U28" s="367">
        <f>P28*C28*'ITS &amp; Connected Veh - Back Calc'!$J$91*((1+0.015)^24)</f>
        <v>3.9739107900960535</v>
      </c>
      <c r="V28" s="367">
        <f>Q28*C28*'ITS &amp; Connected Veh - Back Calc'!$K$91*((1+0.015)^24)</f>
        <v>16.54802014297756</v>
      </c>
      <c r="W28" s="367">
        <f>C28*R28*'ITS &amp; Connected Veh - Back Calc'!$M$91*((1+0.015)^24)</f>
        <v>1.3670151802224757</v>
      </c>
      <c r="X28" s="367">
        <f>S28*C28*'ITS &amp; Connected Veh - Back Calc'!$L$91*((1+0.015)^24)</f>
        <v>100.52158567543063</v>
      </c>
      <c r="Y28" s="367">
        <f>T28*C28*'ITS &amp; Connected Veh - Back Calc'!$N$91*((1+0.015)^24)</f>
        <v>6391.6047882877174</v>
      </c>
      <c r="Z28" s="375">
        <f>U28*'Emission - Values'!$B$4+V28*'Emission - Values'!$B$5+W28*'Emission - Values'!$B$6+X28*'Emission - Values'!$C$17+Y28*'Emission - Values'!C51</f>
        <v>1406214.0321890984</v>
      </c>
      <c r="AA28" s="371">
        <f t="shared" si="7"/>
        <v>0.1183</v>
      </c>
      <c r="AB28" s="420">
        <f>AA28*C28*'ITS &amp; Connected Veh - Back Calc'!$O$91*((1+0.015)^24)</f>
        <v>2458194.3352274699</v>
      </c>
      <c r="AC28" s="375">
        <f>AB28*'Fuel Savings - Values'!$B$4</f>
        <v>5530937.2542618075</v>
      </c>
      <c r="AD28" s="422">
        <f t="shared" si="8"/>
        <v>90987430.252560824</v>
      </c>
      <c r="AE28" s="100"/>
      <c r="AF28" s="100"/>
      <c r="AG28" s="100"/>
      <c r="AH28" s="100"/>
      <c r="AI28" s="100"/>
      <c r="AJ28" s="232"/>
    </row>
    <row r="29" spans="1:36" x14ac:dyDescent="0.25">
      <c r="A29" s="344">
        <v>2040</v>
      </c>
      <c r="B29" s="89">
        <v>18</v>
      </c>
      <c r="C29" s="370">
        <v>0.93</v>
      </c>
      <c r="D29" s="371">
        <f t="shared" si="1"/>
        <v>0.23250000000000001</v>
      </c>
      <c r="E29" s="368">
        <f>C29*D29*'ITS &amp; Connected Veh - Back Calc'!$G$91*((1+0.015)^25)</f>
        <v>4798799.1187182944</v>
      </c>
      <c r="F29" s="368">
        <f>C29*D29*'ITS &amp; Connected Veh - Back Calc'!$H$91*((1+0.015)^25)</f>
        <v>11534.192946542838</v>
      </c>
      <c r="G29" s="368">
        <f>C29*D29*'ITS &amp; Connected Veh - Back Calc'!$I$91*((1+0.015)^25)</f>
        <v>174324.68005749377</v>
      </c>
      <c r="H29" s="375">
        <f>E29*'Travel Time - Value'!$B$7+F29*'Travel Time - Value'!$B$10+G29*'Travel Time - Value'!$B$9</f>
        <v>72731116.531878948</v>
      </c>
      <c r="I29" s="371">
        <f t="shared" si="0"/>
        <v>0.74400000000000011</v>
      </c>
      <c r="J29" s="357">
        <f>C29*I29*'ITS &amp; Connected Veh - Back Calc'!$R$8*((1+0.015)^25)</f>
        <v>932.02175537298183</v>
      </c>
      <c r="K29" s="357">
        <f>C29*I29*'ITS &amp; Connected Veh - Back Calc'!$S$8*((1+0.015)^25)</f>
        <v>74.474018367880376</v>
      </c>
      <c r="L29" s="357">
        <f>C29*I29*'ITS &amp; Connected Veh - Back Calc'!$T$8*((1+0.015)^25)</f>
        <v>11.568941040123136</v>
      </c>
      <c r="M29" s="357">
        <f>C29*I29*'ITS &amp; Connected Veh - Back Calc'!$U$8*((1+0.015)^25)</f>
        <v>2.0863641002227684</v>
      </c>
      <c r="N29" s="357">
        <f>C29*I29*'ITS &amp; Connected Veh - Back Calc'!$V$8*((1+0.015)^25)</f>
        <v>0.64851390053840485</v>
      </c>
      <c r="O29" s="376">
        <f>J29*'KABCO Level - Values'!$B$4+K29*'KABCO Level - Values'!$B$5+L29*'KABCO Level - Values'!$B$6+M29*'KABCO Level - Values'!$B$7+N29*'KABCO Level - Values'!$B$8</f>
        <v>16371060.224497451</v>
      </c>
      <c r="P29" s="371">
        <f t="shared" si="2"/>
        <v>0.10127700000000001</v>
      </c>
      <c r="Q29" s="369">
        <f t="shared" si="3"/>
        <v>0.14424300000000001</v>
      </c>
      <c r="R29" s="369">
        <f t="shared" si="4"/>
        <v>0.177537</v>
      </c>
      <c r="S29" s="369">
        <f t="shared" si="5"/>
        <v>0.12303900000000001</v>
      </c>
      <c r="T29" s="369">
        <f t="shared" si="6"/>
        <v>6.0915000000000004E-2</v>
      </c>
      <c r="U29" s="367">
        <f>P29*C29*'ITS &amp; Connected Veh - Back Calc'!$J$91*((1+0.015)^25)</f>
        <v>4.2127653350916408</v>
      </c>
      <c r="V29" s="367">
        <f>Q29*C29*'ITS &amp; Connected Veh - Back Calc'!$K$91*((1+0.015)^25)</f>
        <v>17.542649874394652</v>
      </c>
      <c r="W29" s="367">
        <f>C29*R29*'ITS &amp; Connected Veh - Back Calc'!$M$91*((1+0.015)^25)</f>
        <v>1.4491805347361859</v>
      </c>
      <c r="X29" s="367">
        <f>S29*C29*'ITS &amp; Connected Veh - Back Calc'!$L$91*((1+0.015)^25)</f>
        <v>106.56350228527974</v>
      </c>
      <c r="Y29" s="367">
        <f>T29*C29*'ITS &amp; Connected Veh - Back Calc'!$N$91*((1+0.015)^25)</f>
        <v>6775.7764353470566</v>
      </c>
      <c r="Z29" s="375">
        <f>U29*'Emission - Values'!$B$4+V29*'Emission - Values'!$B$5+W29*'Emission - Values'!$B$6+X29*'Emission - Values'!$C$17+Y29*'Emission - Values'!C52</f>
        <v>1511331.109764216</v>
      </c>
      <c r="AA29" s="371">
        <f t="shared" si="7"/>
        <v>0.12090000000000001</v>
      </c>
      <c r="AB29" s="420">
        <f>AA29*C29*'ITS &amp; Connected Veh - Back Calc'!$O$91*((1+0.015)^25)</f>
        <v>2605945.7369234543</v>
      </c>
      <c r="AC29" s="375">
        <f>AB29*'Fuel Savings - Values'!$B$4</f>
        <v>5863377.9080777727</v>
      </c>
      <c r="AD29" s="422">
        <f t="shared" si="8"/>
        <v>96476885.77421838</v>
      </c>
      <c r="AE29" s="100"/>
      <c r="AF29" s="100"/>
      <c r="AG29" s="100"/>
      <c r="AH29" s="100"/>
      <c r="AI29" s="100"/>
      <c r="AJ29" s="232"/>
    </row>
    <row r="30" spans="1:36" x14ac:dyDescent="0.25">
      <c r="A30" s="344">
        <v>2041</v>
      </c>
      <c r="B30" s="89">
        <v>19</v>
      </c>
      <c r="C30" s="370">
        <v>0.94</v>
      </c>
      <c r="D30" s="371">
        <f t="shared" si="1"/>
        <v>0.23499999999999999</v>
      </c>
      <c r="E30" s="368">
        <f>C30*D30*'ITS &amp; Connected Veh - Back Calc'!$G$91*((1+0.015)^26)</f>
        <v>4976092.2474493878</v>
      </c>
      <c r="F30" s="368">
        <f>C30*D30*'ITS &amp; Connected Veh - Back Calc'!$H$91*((1+0.015)^26)</f>
        <v>11960.327298969509</v>
      </c>
      <c r="G30" s="368">
        <f>C30*D30*'ITS &amp; Connected Veh - Back Calc'!$I$91*((1+0.015)^26)</f>
        <v>180765.15968121571</v>
      </c>
      <c r="H30" s="375">
        <f>E30*'Travel Time - Value'!$B$7+F30*'Travel Time - Value'!$B$10+G30*'Travel Time - Value'!$B$9</f>
        <v>75418190.294926286</v>
      </c>
      <c r="I30" s="371">
        <f t="shared" si="0"/>
        <v>0.752</v>
      </c>
      <c r="J30" s="357">
        <f>C30*I30*'ITS &amp; Connected Veh - Back Calc'!$R$8*((1+0.015)^26)</f>
        <v>966.45558954015473</v>
      </c>
      <c r="K30" s="357">
        <f>C30*I30*'ITS &amp; Connected Veh - Back Calc'!$S$8*((1+0.015)^26)</f>
        <v>77.225484182341262</v>
      </c>
      <c r="L30" s="357">
        <f>C30*I30*'ITS &amp; Connected Veh - Back Calc'!$T$8*((1+0.015)^26)</f>
        <v>11.996359171694522</v>
      </c>
      <c r="M30" s="357">
        <f>C30*I30*'ITS &amp; Connected Veh - Back Calc'!$U$8*((1+0.015)^26)</f>
        <v>2.1634454720097005</v>
      </c>
      <c r="N30" s="357">
        <f>C30*I30*'ITS &amp; Connected Veh - Back Calc'!$V$8*((1+0.015)^26)</f>
        <v>0.67247344866859793</v>
      </c>
      <c r="O30" s="376">
        <f>J30*'KABCO Level - Values'!$B$4+K30*'KABCO Level - Values'!$B$5+L30*'KABCO Level - Values'!$B$6+M30*'KABCO Level - Values'!$B$7+N30*'KABCO Level - Values'!$B$8</f>
        <v>16975894.14566011</v>
      </c>
      <c r="P30" s="371">
        <f t="shared" si="2"/>
        <v>0.10236599999999998</v>
      </c>
      <c r="Q30" s="369">
        <f t="shared" si="3"/>
        <v>0.14579399999999998</v>
      </c>
      <c r="R30" s="369">
        <f t="shared" si="4"/>
        <v>0.17944599999999997</v>
      </c>
      <c r="S30" s="369">
        <f t="shared" si="5"/>
        <v>0.124362</v>
      </c>
      <c r="T30" s="369">
        <f t="shared" si="6"/>
        <v>6.157E-2</v>
      </c>
      <c r="U30" s="367">
        <f>P30*C30*'ITS &amp; Connected Veh - Back Calc'!$J$91*((1+0.015)^26)</f>
        <v>4.3684072630804449</v>
      </c>
      <c r="V30" s="367">
        <f>Q30*C30*'ITS &amp; Connected Veh - Back Calc'!$K$91*((1+0.015)^26)</f>
        <v>18.190768540236252</v>
      </c>
      <c r="W30" s="367">
        <f>C30*R30*'ITS &amp; Connected Veh - Back Calc'!$M$91*((1+0.015)^26)</f>
        <v>1.5027209611519097</v>
      </c>
      <c r="X30" s="367">
        <f>S30*C30*'ITS &amp; Connected Veh - Back Calc'!$L$91*((1+0.015)^26)</f>
        <v>110.50052408204677</v>
      </c>
      <c r="Y30" s="367">
        <f>T30*C30*'ITS &amp; Connected Veh - Back Calc'!$N$91*((1+0.015)^26)</f>
        <v>7026.10960706064</v>
      </c>
      <c r="Z30" s="375">
        <f>U30*'Emission - Values'!$B$4+V30*'Emission - Values'!$B$5+W30*'Emission - Values'!$B$6+X30*'Emission - Values'!$C$17+Y30*'Emission - Values'!C53</f>
        <v>1584964.8441749502</v>
      </c>
      <c r="AA30" s="371">
        <f t="shared" si="7"/>
        <v>0.1222</v>
      </c>
      <c r="AB30" s="420">
        <f>AA30*C30*'ITS &amp; Connected Veh - Back Calc'!$O$91*((1+0.015)^26)</f>
        <v>2702223.2141782255</v>
      </c>
      <c r="AC30" s="375">
        <f>AB30*'Fuel Savings - Values'!$B$4</f>
        <v>6080002.2319010077</v>
      </c>
      <c r="AD30" s="422">
        <f t="shared" si="8"/>
        <v>100059051.51666236</v>
      </c>
      <c r="AE30" s="100"/>
      <c r="AF30" s="100"/>
      <c r="AG30" s="100"/>
      <c r="AH30" s="100"/>
      <c r="AI30" s="100"/>
      <c r="AJ30" s="232"/>
    </row>
    <row r="31" spans="1:36" x14ac:dyDescent="0.25">
      <c r="A31" s="359">
        <v>2042</v>
      </c>
      <c r="B31" s="360">
        <v>20</v>
      </c>
      <c r="C31" s="384">
        <v>0.95</v>
      </c>
      <c r="D31" s="378">
        <f t="shared" si="1"/>
        <v>0.23749999999999999</v>
      </c>
      <c r="E31" s="379">
        <f>C31*D31*'ITS &amp; Connected Veh - Back Calc'!$G$91*((1+0.015)^27)</f>
        <v>5158767.6574501116</v>
      </c>
      <c r="F31" s="379">
        <f>C31*D31*'ITS &amp; Connected Veh - Back Calc'!$H$91*((1+0.015)^27)</f>
        <v>12399.39827764801</v>
      </c>
      <c r="G31" s="379">
        <f>C31*D31*'ITS &amp; Connected Veh - Back Calc'!$I$91*((1+0.015)^27)</f>
        <v>187401.15998356906</v>
      </c>
      <c r="H31" s="375">
        <f>E31*'Travel Time - Value'!$B$7+F31*'Travel Time - Value'!$B$10+G31*'Travel Time - Value'!$B$9</f>
        <v>78186838.492857069</v>
      </c>
      <c r="I31" s="371">
        <f t="shared" si="0"/>
        <v>0.76</v>
      </c>
      <c r="J31" s="357">
        <f>C31*I31*'ITS &amp; Connected Veh - Back Calc'!$R$8*((1+0.015)^27)</f>
        <v>1001.9347692433109</v>
      </c>
      <c r="K31" s="357">
        <f>C31*I31*'ITS &amp; Connected Veh - Back Calc'!$S$8*((1+0.015)^27)</f>
        <v>80.060479251563407</v>
      </c>
      <c r="L31" s="357">
        <f>C31*I31*'ITS &amp; Connected Veh - Back Calc'!$T$8*((1+0.015)^27)</f>
        <v>12.436752902604253</v>
      </c>
      <c r="M31" s="357">
        <f>C31*I31*'ITS &amp; Connected Veh - Back Calc'!$U$8*((1+0.015)^27)</f>
        <v>2.2428668872409303</v>
      </c>
      <c r="N31" s="357">
        <f>C31*I31*'ITS &amp; Connected Veh - Back Calc'!$V$8*((1+0.015)^27)</f>
        <v>0.69716036298637485</v>
      </c>
      <c r="O31" s="376">
        <f>J31*'KABCO Level - Values'!$B$4+K31*'KABCO Level - Values'!$B$5+L31*'KABCO Level - Values'!$B$6+M31*'KABCO Level - Values'!$B$7+N31*'KABCO Level - Values'!$B$8</f>
        <v>17599089.671180535</v>
      </c>
      <c r="P31" s="371">
        <f t="shared" si="2"/>
        <v>0.10345499999999999</v>
      </c>
      <c r="Q31" s="369">
        <f t="shared" si="3"/>
        <v>0.14734499999999998</v>
      </c>
      <c r="R31" s="369">
        <f t="shared" si="4"/>
        <v>0.18135499999999999</v>
      </c>
      <c r="S31" s="369">
        <f t="shared" si="5"/>
        <v>0.12568499999999999</v>
      </c>
      <c r="T31" s="369">
        <f t="shared" si="6"/>
        <v>6.2225000000000003E-2</v>
      </c>
      <c r="U31" s="367">
        <f>P31*C31*'ITS &amp; Connected Veh - Back Calc'!$J$91*((1+0.015)^27)</f>
        <v>4.5287741831757051</v>
      </c>
      <c r="V31" s="367">
        <f>Q31*C31*'ITS &amp; Connected Veh - Back Calc'!$K$91*((1+0.015)^27)</f>
        <v>18.858562852735023</v>
      </c>
      <c r="W31" s="367">
        <f>C31*R31*'ITS &amp; Connected Veh - Back Calc'!$M$91*((1+0.015)^27)</f>
        <v>1.5578867728057859</v>
      </c>
      <c r="X31" s="367">
        <f>S31*C31*'ITS &amp; Connected Veh - Back Calc'!$L$91*((1+0.015)^27)</f>
        <v>114.5570663522045</v>
      </c>
      <c r="Y31" s="367">
        <f>T31*C31*'ITS &amp; Connected Veh - Back Calc'!$N$91*((1+0.015)^27)</f>
        <v>7284.0424164529313</v>
      </c>
      <c r="Z31" s="375">
        <f>U31*'Emission - Values'!$B$4+V31*'Emission - Values'!$B$5+W31*'Emission - Values'!$B$6+X31*'Emission - Values'!$C$17+Y31*'Emission - Values'!C54</f>
        <v>1661600.3588500093</v>
      </c>
      <c r="AA31" s="371">
        <f t="shared" si="7"/>
        <v>0.1235</v>
      </c>
      <c r="AB31" s="420">
        <f>AA31*C31*'ITS &amp; Connected Veh - Back Calc'!$O$91*((1+0.015)^27)</f>
        <v>2801423.4920300883</v>
      </c>
      <c r="AC31" s="375">
        <f>AB31*'Fuel Savings - Values'!$B$4</f>
        <v>6303202.8570676986</v>
      </c>
      <c r="AD31" s="422">
        <f t="shared" si="8"/>
        <v>103750731.37995532</v>
      </c>
      <c r="AE31" s="100"/>
      <c r="AF31" s="100"/>
      <c r="AG31" s="100"/>
      <c r="AH31" s="100"/>
      <c r="AI31" s="100"/>
      <c r="AJ31" s="232"/>
    </row>
    <row r="32" spans="1:36" x14ac:dyDescent="0.25">
      <c r="A32" s="602" t="s">
        <v>42</v>
      </c>
      <c r="B32" s="603"/>
      <c r="C32" s="604"/>
      <c r="D32" s="381"/>
      <c r="E32" s="380"/>
      <c r="F32" s="380"/>
      <c r="G32" s="380"/>
      <c r="H32" s="373">
        <f>AVERAGE(H12:H31)</f>
        <v>40264098.817364305</v>
      </c>
      <c r="I32" s="385"/>
      <c r="J32" s="386"/>
      <c r="K32" s="386"/>
      <c r="L32" s="386"/>
      <c r="M32" s="386"/>
      <c r="N32" s="386"/>
      <c r="O32" s="409">
        <f>AVERAGE(O12:O31)</f>
        <v>9063053.3127491158</v>
      </c>
      <c r="P32" s="390"/>
      <c r="Q32" s="407"/>
      <c r="R32" s="407"/>
      <c r="S32" s="407"/>
      <c r="T32" s="407"/>
      <c r="U32" s="391"/>
      <c r="V32" s="391"/>
      <c r="W32" s="391"/>
      <c r="X32" s="391"/>
      <c r="Y32" s="391"/>
      <c r="Z32" s="392">
        <f>AVERAGE(Z12:Z31)</f>
        <v>793294.46265531878</v>
      </c>
      <c r="AA32" s="413"/>
      <c r="AB32" s="418"/>
      <c r="AC32" s="414">
        <f>AVERAGE(AC12:AC31)</f>
        <v>3245978.3205846404</v>
      </c>
      <c r="AD32" s="423">
        <f>AVERAGE(AD12:AD31)</f>
        <v>53366424.913353384</v>
      </c>
      <c r="AE32" s="100"/>
      <c r="AF32" s="100"/>
      <c r="AG32" s="100"/>
      <c r="AH32" s="100"/>
      <c r="AI32" s="100"/>
      <c r="AJ32" s="100"/>
    </row>
    <row r="33" spans="1:36" ht="15.75" thickBot="1" x14ac:dyDescent="0.3">
      <c r="A33" s="605" t="s">
        <v>43</v>
      </c>
      <c r="B33" s="606"/>
      <c r="C33" s="607"/>
      <c r="D33" s="382"/>
      <c r="E33" s="383"/>
      <c r="F33" s="383"/>
      <c r="G33" s="383"/>
      <c r="H33" s="374">
        <f t="shared" ref="H33" si="9">SUM(H5:H31)</f>
        <v>805281976.34728611</v>
      </c>
      <c r="I33" s="387"/>
      <c r="J33" s="388"/>
      <c r="K33" s="388"/>
      <c r="L33" s="388"/>
      <c r="M33" s="388"/>
      <c r="N33" s="388"/>
      <c r="O33" s="410">
        <f>SUM(O5:O31)</f>
        <v>181261066.25498232</v>
      </c>
      <c r="P33" s="393"/>
      <c r="Q33" s="408"/>
      <c r="R33" s="408"/>
      <c r="S33" s="408"/>
      <c r="T33" s="408"/>
      <c r="U33" s="394"/>
      <c r="V33" s="394"/>
      <c r="W33" s="394"/>
      <c r="X33" s="394"/>
      <c r="Y33" s="394"/>
      <c r="Z33" s="395">
        <f>SUM(Z5:Z31)</f>
        <v>15865889.253106376</v>
      </c>
      <c r="AA33" s="415"/>
      <c r="AB33" s="419"/>
      <c r="AC33" s="416">
        <f>SUM(AC5:AC31)</f>
        <v>64919566.411692806</v>
      </c>
      <c r="AD33" s="421">
        <f>SUM(AD5:AD31)</f>
        <v>1067328498.2670677</v>
      </c>
      <c r="AE33" s="100"/>
      <c r="AF33" s="100"/>
      <c r="AG33" s="100"/>
      <c r="AH33" s="100"/>
      <c r="AI33" s="100"/>
      <c r="AJ33" s="100"/>
    </row>
    <row r="34" spans="1:36" x14ac:dyDescent="0.25">
      <c r="AE34" s="100"/>
      <c r="AF34" s="100"/>
      <c r="AG34" s="100"/>
      <c r="AH34" s="100"/>
    </row>
    <row r="35" spans="1:36" x14ac:dyDescent="0.25">
      <c r="A35" s="21" t="s">
        <v>1</v>
      </c>
      <c r="AI35" s="232"/>
    </row>
    <row r="36" spans="1:36" x14ac:dyDescent="0.25">
      <c r="A36" s="2" t="s">
        <v>306</v>
      </c>
    </row>
    <row r="37" spans="1:36" x14ac:dyDescent="0.25">
      <c r="A37" s="32" t="s">
        <v>307</v>
      </c>
    </row>
    <row r="38" spans="1:36" x14ac:dyDescent="0.25">
      <c r="A38" s="2" t="s">
        <v>407</v>
      </c>
    </row>
    <row r="39" spans="1:36" x14ac:dyDescent="0.25">
      <c r="A39" s="32" t="s">
        <v>334</v>
      </c>
    </row>
    <row r="40" spans="1:36" x14ac:dyDescent="0.25">
      <c r="A40" s="340" t="s">
        <v>409</v>
      </c>
    </row>
    <row r="41" spans="1:36" x14ac:dyDescent="0.25">
      <c r="A41" s="32" t="s">
        <v>348</v>
      </c>
    </row>
    <row r="42" spans="1:36" x14ac:dyDescent="0.25">
      <c r="A42" s="340" t="s">
        <v>408</v>
      </c>
    </row>
    <row r="43" spans="1:36" x14ac:dyDescent="0.25">
      <c r="A43" s="32" t="s">
        <v>384</v>
      </c>
    </row>
    <row r="44" spans="1:36" x14ac:dyDescent="0.25">
      <c r="A44" s="340" t="s">
        <v>394</v>
      </c>
    </row>
    <row r="45" spans="1:36" x14ac:dyDescent="0.25">
      <c r="A45" s="32" t="s">
        <v>395</v>
      </c>
    </row>
    <row r="46" spans="1:36" x14ac:dyDescent="0.25">
      <c r="A46" s="32"/>
    </row>
    <row r="47" spans="1:36" x14ac:dyDescent="0.25">
      <c r="A47" s="21" t="s">
        <v>38</v>
      </c>
    </row>
    <row r="48" spans="1:36" x14ac:dyDescent="0.25">
      <c r="A48" s="2" t="s">
        <v>488</v>
      </c>
    </row>
    <row r="49" spans="1:3" x14ac:dyDescent="0.25">
      <c r="A49" s="358" t="s">
        <v>349</v>
      </c>
      <c r="B49" s="127"/>
    </row>
    <row r="50" spans="1:3" x14ac:dyDescent="0.25">
      <c r="A50" s="125" t="s">
        <v>340</v>
      </c>
      <c r="B50" s="127"/>
    </row>
    <row r="51" spans="1:3" x14ac:dyDescent="0.25">
      <c r="A51" s="2" t="s">
        <v>335</v>
      </c>
    </row>
    <row r="54" spans="1:3" x14ac:dyDescent="0.25">
      <c r="A54" t="s">
        <v>57</v>
      </c>
      <c r="C54" s="22" t="s">
        <v>336</v>
      </c>
    </row>
    <row r="55" spans="1:3" x14ac:dyDescent="0.25">
      <c r="C55" s="22" t="s">
        <v>400</v>
      </c>
    </row>
    <row r="56" spans="1:3" x14ac:dyDescent="0.25">
      <c r="C56" s="22" t="s">
        <v>338</v>
      </c>
    </row>
    <row r="57" spans="1:3" x14ac:dyDescent="0.25">
      <c r="C57" s="22" t="s">
        <v>339</v>
      </c>
    </row>
    <row r="58" spans="1:3" x14ac:dyDescent="0.25">
      <c r="C58" s="22"/>
    </row>
    <row r="59" spans="1:3" x14ac:dyDescent="0.25">
      <c r="A59" s="2" t="s">
        <v>350</v>
      </c>
    </row>
    <row r="60" spans="1:3" x14ac:dyDescent="0.25">
      <c r="A60" s="2" t="s">
        <v>351</v>
      </c>
    </row>
    <row r="61" spans="1:3" x14ac:dyDescent="0.25">
      <c r="A61" s="2" t="s">
        <v>352</v>
      </c>
    </row>
    <row r="64" spans="1:3" x14ac:dyDescent="0.25">
      <c r="A64" t="s">
        <v>57</v>
      </c>
      <c r="C64" s="22" t="s">
        <v>353</v>
      </c>
    </row>
    <row r="65" spans="1:3" x14ac:dyDescent="0.25">
      <c r="C65" s="22" t="s">
        <v>337</v>
      </c>
    </row>
    <row r="66" spans="1:3" x14ac:dyDescent="0.25">
      <c r="C66" s="22" t="s">
        <v>354</v>
      </c>
    </row>
    <row r="67" spans="1:3" x14ac:dyDescent="0.25">
      <c r="C67" s="22" t="s">
        <v>339</v>
      </c>
    </row>
    <row r="69" spans="1:3" ht="18" x14ac:dyDescent="0.35">
      <c r="A69" s="2" t="s">
        <v>389</v>
      </c>
    </row>
    <row r="70" spans="1:3" x14ac:dyDescent="0.25">
      <c r="A70" s="125" t="s">
        <v>386</v>
      </c>
    </row>
    <row r="71" spans="1:3" x14ac:dyDescent="0.25">
      <c r="A71" s="2" t="s">
        <v>385</v>
      </c>
    </row>
    <row r="74" spans="1:3" x14ac:dyDescent="0.25">
      <c r="A74" t="s">
        <v>57</v>
      </c>
      <c r="C74" s="22" t="s">
        <v>387</v>
      </c>
    </row>
    <row r="75" spans="1:3" x14ac:dyDescent="0.25">
      <c r="C75" s="22" t="s">
        <v>400</v>
      </c>
    </row>
    <row r="76" spans="1:3" ht="18" x14ac:dyDescent="0.35">
      <c r="C76" s="22" t="s">
        <v>388</v>
      </c>
    </row>
    <row r="77" spans="1:3" x14ac:dyDescent="0.25">
      <c r="C77" s="22" t="s">
        <v>339</v>
      </c>
    </row>
    <row r="79" spans="1:3" x14ac:dyDescent="0.25">
      <c r="A79" s="2" t="s">
        <v>396</v>
      </c>
    </row>
    <row r="80" spans="1:3" x14ac:dyDescent="0.25">
      <c r="A80" s="125" t="s">
        <v>397</v>
      </c>
    </row>
    <row r="81" spans="1:3" x14ac:dyDescent="0.25">
      <c r="A81" s="2" t="s">
        <v>385</v>
      </c>
    </row>
    <row r="84" spans="1:3" x14ac:dyDescent="0.25">
      <c r="A84" t="s">
        <v>57</v>
      </c>
      <c r="C84" s="22" t="s">
        <v>398</v>
      </c>
    </row>
    <row r="85" spans="1:3" x14ac:dyDescent="0.25">
      <c r="C85" s="22" t="s">
        <v>400</v>
      </c>
    </row>
    <row r="86" spans="1:3" x14ac:dyDescent="0.25">
      <c r="C86" s="22" t="s">
        <v>399</v>
      </c>
    </row>
    <row r="87" spans="1:3" x14ac:dyDescent="0.25">
      <c r="C87" s="22" t="s">
        <v>339</v>
      </c>
    </row>
    <row r="89" spans="1:3" x14ac:dyDescent="0.25">
      <c r="A89" s="2" t="s">
        <v>487</v>
      </c>
    </row>
    <row r="90" spans="1:3" x14ac:dyDescent="0.25">
      <c r="A90" s="2" t="s">
        <v>403</v>
      </c>
    </row>
    <row r="91" spans="1:3" x14ac:dyDescent="0.25">
      <c r="A91" s="2" t="s">
        <v>489</v>
      </c>
    </row>
    <row r="92" spans="1:3" x14ac:dyDescent="0.25">
      <c r="A92" s="2" t="s">
        <v>404</v>
      </c>
    </row>
  </sheetData>
  <mergeCells count="11">
    <mergeCell ref="A1:AD1"/>
    <mergeCell ref="A32:C32"/>
    <mergeCell ref="A33:C33"/>
    <mergeCell ref="A3:A4"/>
    <mergeCell ref="B3:B4"/>
    <mergeCell ref="C3:C4"/>
    <mergeCell ref="AA3:AC3"/>
    <mergeCell ref="AD3:AD4"/>
    <mergeCell ref="D3:H3"/>
    <mergeCell ref="I3:O3"/>
    <mergeCell ref="P3:Z3"/>
  </mergeCells>
  <hyperlinks>
    <hyperlink ref="A37" r:id="rId1"/>
    <hyperlink ref="A39" r:id="rId2"/>
    <hyperlink ref="A41" r:id="rId3"/>
    <hyperlink ref="A43" r:id="rId4"/>
  </hyperlinks>
  <pageMargins left="0.7" right="0.7" top="0.75" bottom="0.75" header="0.3" footer="0.3"/>
  <pageSetup orientation="portrait" horizontalDpi="1200" verticalDpi="1200" r:id="rId5"/>
  <drawing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100"/>
  <sheetViews>
    <sheetView zoomScale="90" zoomScaleNormal="90" workbookViewId="0">
      <selection activeCell="K112" sqref="K112"/>
    </sheetView>
  </sheetViews>
  <sheetFormatPr defaultRowHeight="15" x14ac:dyDescent="0.25"/>
  <cols>
    <col min="7" max="9" width="14.85546875" customWidth="1"/>
    <col min="10" max="11" width="17.7109375" customWidth="1"/>
    <col min="12" max="12" width="17" customWidth="1"/>
    <col min="13" max="13" width="16.5703125" customWidth="1"/>
    <col min="14" max="14" width="17.7109375" customWidth="1"/>
    <col min="15" max="15" width="19.7109375" customWidth="1"/>
    <col min="17" max="17" width="55" customWidth="1"/>
    <col min="18" max="18" width="11" customWidth="1"/>
    <col min="19" max="19" width="15.140625" customWidth="1"/>
    <col min="20" max="20" width="20.140625" customWidth="1"/>
    <col min="21" max="21" width="14.85546875" customWidth="1"/>
  </cols>
  <sheetData>
    <row r="1" spans="1:22" x14ac:dyDescent="0.25">
      <c r="A1" s="478" t="s">
        <v>320</v>
      </c>
      <c r="B1" s="478"/>
      <c r="C1" s="478"/>
      <c r="D1" s="478"/>
      <c r="E1" s="478"/>
      <c r="F1" s="478"/>
      <c r="G1" s="478"/>
      <c r="H1" s="478"/>
      <c r="I1" s="478"/>
      <c r="J1" s="478"/>
      <c r="K1" s="478"/>
      <c r="L1" s="478"/>
      <c r="M1" s="478"/>
      <c r="N1" s="478"/>
      <c r="O1" s="478"/>
      <c r="P1" s="478"/>
      <c r="Q1" s="478"/>
      <c r="R1" s="478"/>
      <c r="S1" s="478"/>
      <c r="T1" s="478"/>
      <c r="U1" s="478"/>
      <c r="V1" s="478"/>
    </row>
    <row r="2" spans="1:22" ht="15" customHeight="1" thickBot="1" x14ac:dyDescent="0.3"/>
    <row r="3" spans="1:22" ht="15" customHeight="1" x14ac:dyDescent="0.25">
      <c r="A3" s="525" t="s">
        <v>289</v>
      </c>
      <c r="B3" s="559" t="s">
        <v>25</v>
      </c>
      <c r="C3" s="559" t="s">
        <v>44</v>
      </c>
      <c r="D3" s="559" t="s">
        <v>28</v>
      </c>
      <c r="E3" s="559" t="s">
        <v>29</v>
      </c>
      <c r="F3" s="572" t="s">
        <v>313</v>
      </c>
      <c r="G3" s="622" t="s">
        <v>327</v>
      </c>
      <c r="H3" s="623"/>
      <c r="I3" s="624"/>
      <c r="J3" s="625" t="s">
        <v>328</v>
      </c>
      <c r="K3" s="626"/>
      <c r="L3" s="626"/>
      <c r="M3" s="626"/>
      <c r="N3" s="627"/>
      <c r="O3" s="354" t="s">
        <v>391</v>
      </c>
      <c r="R3" s="621" t="s">
        <v>329</v>
      </c>
      <c r="S3" s="621"/>
      <c r="T3" s="621"/>
      <c r="U3" s="621"/>
      <c r="V3" s="621"/>
    </row>
    <row r="4" spans="1:22" ht="60" customHeight="1" x14ac:dyDescent="0.25">
      <c r="A4" s="526"/>
      <c r="B4" s="483"/>
      <c r="C4" s="483"/>
      <c r="D4" s="483"/>
      <c r="E4" s="483"/>
      <c r="F4" s="573"/>
      <c r="G4" s="348" t="s">
        <v>310</v>
      </c>
      <c r="H4" s="349" t="s">
        <v>311</v>
      </c>
      <c r="I4" s="350" t="s">
        <v>312</v>
      </c>
      <c r="J4" s="351" t="s">
        <v>314</v>
      </c>
      <c r="K4" s="352" t="s">
        <v>315</v>
      </c>
      <c r="L4" s="352" t="s">
        <v>316</v>
      </c>
      <c r="M4" s="352" t="s">
        <v>317</v>
      </c>
      <c r="N4" s="353" t="s">
        <v>318</v>
      </c>
      <c r="O4" s="355" t="s">
        <v>319</v>
      </c>
      <c r="R4" s="268" t="s">
        <v>322</v>
      </c>
      <c r="S4" s="268" t="s">
        <v>323</v>
      </c>
      <c r="T4" s="268" t="s">
        <v>324</v>
      </c>
      <c r="U4" s="268" t="s">
        <v>325</v>
      </c>
      <c r="V4" s="268" t="s">
        <v>326</v>
      </c>
    </row>
    <row r="5" spans="1:22" ht="17.25" x14ac:dyDescent="0.25">
      <c r="A5" s="344">
        <v>9</v>
      </c>
      <c r="B5" s="89" t="s">
        <v>26</v>
      </c>
      <c r="C5" s="89">
        <v>48682</v>
      </c>
      <c r="D5" s="343">
        <v>2E-3</v>
      </c>
      <c r="E5" s="343">
        <v>4.2000000000000003E-2</v>
      </c>
      <c r="F5" s="345">
        <v>0.1</v>
      </c>
      <c r="G5" s="346">
        <f>((C5*(1-(D5+E5))*'Travel Time - Calc'!F4*0.15*'Travel Time - Value'!$B$19)+(C5*(1-(D5+E5))*'Travel Time - Calc'!J4*0.65*'Travel Time - Value'!$B$19)+(C5*(1-(D5+E5))*'Travel Time - Calc'!H4*0.2*'Travel Time - Value'!$B$19))*(1/3600)*365</f>
        <v>78313.34872164666</v>
      </c>
      <c r="H5" s="342">
        <f>((C5*D5*'Travel Time - Calc'!F4*0.15)+(C5*D5*'Travel Time - Calc'!J4*0.65)+(C5*D5*'Travel Time - Calc'!H4*0.2))*(1/3600)*365</f>
        <v>117.86723566666666</v>
      </c>
      <c r="I5" s="347">
        <f>((C5*E5*'Travel Time - Calc'!F4*0.15*'Travel Time - Value'!$B$20)+(C5*E5*'Travel Time - Calc'!J4*0.65*'Travel Time - Value'!$B$20)+(C5*E5*'Travel Time - Calc'!H4*0.2*'Travel Time - Value'!$B$20))*(1/3600)*365</f>
        <v>2475.211949</v>
      </c>
      <c r="J5" s="396">
        <f>((C5*F5*0.15*'Emission - Calc (Non-CO2)'!F6)+(C5*F5*0.65*'Emission - Calc (Non-CO2)'!P6)+(C5*F5*0.2*'Emission - Calc (Non-CO2)'!Z6))*(1/1101500)*365</f>
        <v>0.14163522959600544</v>
      </c>
      <c r="K5" s="397">
        <f>((C5*F5*0.15*'Emission - Calc (Non-CO2)'!G6)+(C5*F5*0.65*'Emission - Calc (Non-CO2)'!Q6)+(C5*F5*0.2*'Emission - Calc (Non-CO2)'!AA6))*(1/1101500)*365</f>
        <v>0.56289518240581027</v>
      </c>
      <c r="L5" s="397">
        <f>((C5*F5*0.15*'Emission - Calc (Non-CO2)'!H6)+(C5*F5*0.65*'Emission - Calc (Non-CO2)'!R6)+(C5*F5*0.2*'Emission - Calc (Non-CO2)'!AB6))*(1/1000000)*365</f>
        <v>3.8175835347799998</v>
      </c>
      <c r="M5" s="397">
        <f>((C5*F5*0.15*'Emission - Calc (Non-CO2)'!I6)+(C5*F5*0.65*'Emission - Calc (Non-CO2)'!S6)+(C5*F5*0.2*'Emission - Calc (Non-CO2)'!AC6))*(1/1101500)*365</f>
        <v>2.7939888116205173E-2</v>
      </c>
      <c r="N5" s="347">
        <f>((C5*F5*0.15*'Emission - Calc (CO2)'!F5)+(C5*F5*0.65*'Emission - Calc (CO2)'!J5)+(C5*F5*0.15*'Emission - Calc (CO2)'!N5))*(1/1101500)*365</f>
        <v>503.44629517703123</v>
      </c>
      <c r="O5" s="336">
        <f>((C5*F5*1.60934*0.15*'Fuel Savings - Calc'!F6)+(C5*F5*1.60934*0.65*'Fuel Savings - Calc'!J6)+(C5*F5*1.60934*0.2*'Fuel Savings - Calc'!N6))*0.000264172*365</f>
        <v>93391.385512888373</v>
      </c>
      <c r="Q5" s="356" t="s">
        <v>344</v>
      </c>
      <c r="R5" s="316">
        <v>9703.5900000001384</v>
      </c>
      <c r="S5" s="357">
        <v>936</v>
      </c>
      <c r="T5" s="357">
        <v>153</v>
      </c>
      <c r="U5" s="357">
        <v>34</v>
      </c>
      <c r="V5" s="357">
        <v>9</v>
      </c>
    </row>
    <row r="6" spans="1:22" ht="17.25" x14ac:dyDescent="0.25">
      <c r="A6" s="344">
        <v>9</v>
      </c>
      <c r="B6" s="89" t="s">
        <v>27</v>
      </c>
      <c r="C6" s="89">
        <v>1534</v>
      </c>
      <c r="D6" s="343">
        <v>2E-3</v>
      </c>
      <c r="E6" s="343">
        <v>4.2000000000000003E-2</v>
      </c>
      <c r="F6" s="345">
        <v>0.5</v>
      </c>
      <c r="G6" s="346">
        <f>((C6*(1-(D6+E6))*'Travel Time - Calc'!F5*0.15*'Travel Time - Value'!$B$19)+(C6*(1-(D6+E6))*'Travel Time - Calc'!J5*0.65*'Travel Time - Value'!$B$19)+(C6*(1-(D6+E6))*'Travel Time - Calc'!H5*0.2*'Travel Time - Value'!$B$19))*(1/3600)*365</f>
        <v>8093.4017500844438</v>
      </c>
      <c r="H6" s="342">
        <f>((C6*D6*'Travel Time - Calc'!F5*0.15)+(C6*D6*'Travel Time - Calc'!J5*0.65)+(C6*D6*'Travel Time - Calc'!H5*0.2))*(1/3600)*365</f>
        <v>12.181153111111113</v>
      </c>
      <c r="I6" s="347">
        <f>((C6*E6*'Travel Time - Calc'!F5*0.15*'Travel Time - Value'!$B$20)+(C6*E6*'Travel Time - Calc'!J5*0.65*'Travel Time - Value'!$B$20)+(C6*E6*'Travel Time - Calc'!H5*0.2*'Travel Time - Value'!$B$20))*(1/3600)*365</f>
        <v>255.8042153333333</v>
      </c>
      <c r="J6" s="396">
        <f>((C6*F6*0.15*'Emission - Calc (Non-CO2)'!F7)+(C6*F6*0.65*'Emission - Calc (Non-CO2)'!P7)+(C6*F6*0.2*'Emission - Calc (Non-CO2)'!Z7))*(1/1101500)*365</f>
        <v>2.0857473513390831E-2</v>
      </c>
      <c r="K6" s="397">
        <f>((C6*F6*0.15*'Emission - Calc (Non-CO2)'!G7)+(C6*F6*0.65*'Emission - Calc (Non-CO2)'!Q7)+(C6*F6*0.2*'Emission - Calc (Non-CO2)'!AA7))*(1/1101500)*365</f>
        <v>8.7299449092147083E-2</v>
      </c>
      <c r="L6" s="397">
        <f>((C6*F6*0.15*'Emission - Calc (Non-CO2)'!H7)+(C6*F6*0.65*'Emission - Calc (Non-CO2)'!R7)+(C6*F6*0.2*'Emission - Calc (Non-CO2)'!AB7))*(1/1000000)*365</f>
        <v>0.57730780347499999</v>
      </c>
      <c r="M6" s="397">
        <f>((C6*F6*0.15*'Emission - Calc (Non-CO2)'!I7)+(C6*F6*0.65*'Emission - Calc (Non-CO2)'!S7)+(C6*F6*0.2*'Emission - Calc (Non-CO2)'!AC7))*(1/1101500)*365</f>
        <v>4.0525487743985475E-3</v>
      </c>
      <c r="N6" s="347">
        <f>((C6*F6*0.15*'Emission - Calc (CO2)'!F6)+(C6*F6*0.65*'Emission - Calc (CO2)'!J6)+(C6*F6*0.15*'Emission - Calc (CO2)'!N6))*(1/1101500)*365</f>
        <v>78.471272128915118</v>
      </c>
      <c r="O6" s="336">
        <f>((C6*F6*1.60934*0.15*'Fuel Savings - Calc'!F7)+(C6*F6*1.60934*0.65*'Fuel Savings - Calc'!J7)+(C6*F6*1.60934*0.2*'Fuel Savings - Calc'!N7))*0.000264172*365</f>
        <v>14335.980377929354</v>
      </c>
      <c r="Q6" s="356" t="s">
        <v>345</v>
      </c>
      <c r="R6" s="316">
        <f>R5/5</f>
        <v>1940.7180000000276</v>
      </c>
      <c r="S6" s="316">
        <f t="shared" ref="S6:V6" si="0">S5/5</f>
        <v>187.2</v>
      </c>
      <c r="T6" s="316">
        <f t="shared" si="0"/>
        <v>30.6</v>
      </c>
      <c r="U6" s="316">
        <f t="shared" si="0"/>
        <v>6.8</v>
      </c>
      <c r="V6" s="316">
        <f t="shared" si="0"/>
        <v>1.8</v>
      </c>
    </row>
    <row r="7" spans="1:22" ht="17.25" x14ac:dyDescent="0.25">
      <c r="A7" s="344">
        <v>10</v>
      </c>
      <c r="B7" s="89" t="s">
        <v>26</v>
      </c>
      <c r="C7" s="89">
        <v>49976</v>
      </c>
      <c r="D7" s="343">
        <v>3.0000000000000001E-3</v>
      </c>
      <c r="E7" s="343">
        <v>4.8000000000000001E-2</v>
      </c>
      <c r="F7" s="345">
        <v>0.1</v>
      </c>
      <c r="G7" s="346">
        <f>((C7*(1-(D7+E7))*'Travel Time - Calc'!F6*0.15*'Travel Time - Value'!$B$19)+(C7*(1-(D7+E7))*'Travel Time - Calc'!J6*0.65*'Travel Time - Value'!$B$19)+(C7*(1-(D7+E7))*'Travel Time - Calc'!H6*0.2*'Travel Time - Value'!$B$19))*(1/3600)*365</f>
        <v>812968.233606981</v>
      </c>
      <c r="H7" s="342">
        <f>((C7*D7*'Travel Time - Calc'!F6*0.15)+(C7*D7*'Travel Time - Calc'!J6*0.65)+(C7*D7*'Travel Time - Calc'!H6*0.2))*(1/3600)*365</f>
        <v>1848.9016843333334</v>
      </c>
      <c r="I7" s="347">
        <f>((C7*E7*'Travel Time - Calc'!F6*0.15*'Travel Time - Value'!$B$20)+(C7*E7*'Travel Time - Calc'!J6*0.65*'Travel Time - Value'!$B$20)+(C7*E7*'Travel Time - Calc'!H6*0.2*'Travel Time - Value'!$B$20))*(1/3600)*365</f>
        <v>29582.426949333334</v>
      </c>
      <c r="J7" s="396">
        <f>((C7*F7*0.15*'Emission - Calc (Non-CO2)'!F8)+(C7*F7*0.65*'Emission - Calc (Non-CO2)'!P8)+(C7*F7*0.2*'Emission - Calc (Non-CO2)'!Z8))*(1/1101500)*365</f>
        <v>0.58305726547435321</v>
      </c>
      <c r="K7" s="397">
        <f>((C7*F7*0.15*'Emission - Calc (Non-CO2)'!G8)+(C7*F7*0.65*'Emission - Calc (Non-CO2)'!Q8)+(C7*F7*0.2*'Emission - Calc (Non-CO2)'!AA8))*(1/1101500)*365</f>
        <v>1.1362065151157514</v>
      </c>
      <c r="L7" s="397">
        <f>((C7*F7*0.15*'Emission - Calc (Non-CO2)'!H8)+(C7*F7*0.65*'Emission - Calc (Non-CO2)'!R8)+(C7*F7*0.2*'Emission - Calc (Non-CO2)'!AB8))*(1/1000000)*365</f>
        <v>8.2653794626000003</v>
      </c>
      <c r="M7" s="397">
        <f>((C7*F7*0.15*'Emission - Calc (Non-CO2)'!I8)+(C7*F7*0.65*'Emission - Calc (Non-CO2)'!S8)+(C7*F7*0.2*'Emission - Calc (Non-CO2)'!AC8))*(1/1101500)*365</f>
        <v>0.10847037857467093</v>
      </c>
      <c r="N7" s="347">
        <f>((C7*F7*0.15*'Emission - Calc (CO2)'!F7)+(C7*F7*0.65*'Emission - Calc (CO2)'!J7)+(C7*F7*0.15*'Emission - Calc (CO2)'!N7))*(1/1101500)*365</f>
        <v>1364.1599137539722</v>
      </c>
      <c r="O7" s="336">
        <f>((C7*F7*1.60934*0.15*'Fuel Savings - Calc'!F8)+(C7*F7*1.60934*0.65*'Fuel Savings - Calc'!J8)+(C7*F7*1.60934*0.2*'Fuel Savings - Calc'!N8))*0.000264172*365</f>
        <v>233469.67478519469</v>
      </c>
      <c r="Q7" s="377" t="s">
        <v>362</v>
      </c>
      <c r="R7" s="316">
        <f>SUM('Safety Benefits - Calc'!BS6:BS43)</f>
        <v>1012.3522505250381</v>
      </c>
      <c r="S7" s="316">
        <f>SUM('Safety Benefits - Calc'!BT6:BT43)</f>
        <v>113.018118</v>
      </c>
      <c r="T7" s="316">
        <f>SUM('Safety Benefits - Calc'!BU6:BU43)</f>
        <v>19.076440000000002</v>
      </c>
      <c r="U7" s="316">
        <f>SUM('Safety Benefits - Calc'!BV6:BV43)</f>
        <v>4.721820000000001</v>
      </c>
      <c r="V7" s="316">
        <f>SUM('Safety Benefits - Calc'!BW6:BW43)</f>
        <v>1.1540300000000001</v>
      </c>
    </row>
    <row r="8" spans="1:22" ht="17.25" x14ac:dyDescent="0.25">
      <c r="A8" s="344">
        <v>10</v>
      </c>
      <c r="B8" s="89" t="s">
        <v>27</v>
      </c>
      <c r="C8" s="89">
        <v>50059</v>
      </c>
      <c r="D8" s="343">
        <v>2E-3</v>
      </c>
      <c r="E8" s="343">
        <v>4.2000000000000003E-2</v>
      </c>
      <c r="F8" s="345">
        <v>0.1</v>
      </c>
      <c r="G8" s="346">
        <f>((C8*(1-(D8+E8))*'Travel Time - Calc'!F7*0.15*'Travel Time - Value'!$B$19)+(C8*(1-(D8+E8))*'Travel Time - Calc'!J7*0.65*'Travel Time - Value'!$B$19)+(C8*(1-(D8+E8))*'Travel Time - Calc'!H7*0.2*'Travel Time - Value'!$B$19))*(1/3600)*365</f>
        <v>178322.71869303778</v>
      </c>
      <c r="H8" s="342">
        <f>((C8*D8*'Travel Time - Calc'!F7*0.15)+(C8*D8*'Travel Time - Calc'!J7*0.65)+(C8*D8*'Travel Time - Calc'!H7*0.2))*(1/3600)*365</f>
        <v>268.3885474444445</v>
      </c>
      <c r="I8" s="347">
        <f>((C8*E8*'Travel Time - Calc'!F7*0.15*'Travel Time - Value'!$B$20)+(C8*E8*'Travel Time - Calc'!J7*0.65*'Travel Time - Value'!$B$20)+(C8*E8*'Travel Time - Calc'!H7*0.2*'Travel Time - Value'!$B$20))*(1/3600)*365</f>
        <v>5636.1594963333328</v>
      </c>
      <c r="J8" s="396">
        <f>((C8*F8*0.15*'Emission - Calc (Non-CO2)'!F9)+(C8*F8*0.65*'Emission - Calc (Non-CO2)'!P9)+(C8*F8*0.2*'Emission - Calc (Non-CO2)'!Z9))*(1/1101500)*365</f>
        <v>0.29414434352019975</v>
      </c>
      <c r="K8" s="397">
        <f>((C8*F8*0.15*'Emission - Calc (Non-CO2)'!G9)+(C8*F8*0.65*'Emission - Calc (Non-CO2)'!Q9)+(C8*F8*0.2*'Emission - Calc (Non-CO2)'!AA9))*(1/1101500)*365</f>
        <v>0.75405953136404924</v>
      </c>
      <c r="L8" s="397">
        <f>((C8*F8*0.15*'Emission - Calc (Non-CO2)'!H9)+(C8*F8*0.65*'Emission - Calc (Non-CO2)'!R9)+(C8*F8*0.2*'Emission - Calc (Non-CO2)'!AB9))*(1/1000000)*365</f>
        <v>5.7951827559500018</v>
      </c>
      <c r="M8" s="397">
        <f>((C8*F8*0.15*'Emission - Calc (Non-CO2)'!I9)+(C8*F8*0.65*'Emission - Calc (Non-CO2)'!S9)+(C8*F8*0.2*'Emission - Calc (Non-CO2)'!AC9))*(1/1101500)*365</f>
        <v>6.008125262823423E-2</v>
      </c>
      <c r="N8" s="347">
        <f>((C8*F8*0.15*'Emission - Calc (CO2)'!F8)+(C8*F8*0.65*'Emission - Calc (CO2)'!J8)+(C8*F8*0.15*'Emission - Calc (CO2)'!N8))*(1/1101500)*365</f>
        <v>748.11278120744464</v>
      </c>
      <c r="O8" s="336">
        <f>((C8*F8*1.60934*0.15*'Fuel Savings - Calc'!F9)+(C8*F8*1.60934*0.65*'Fuel Savings - Calc'!J9)+(C8*F8*1.60934*0.2*'Fuel Savings - Calc'!N9))*0.000264172*365</f>
        <v>141366.03151264729</v>
      </c>
      <c r="Q8" s="377" t="s">
        <v>361</v>
      </c>
      <c r="R8" s="316">
        <f>R6-R7</f>
        <v>928.36574947498946</v>
      </c>
      <c r="S8" s="316">
        <f t="shared" ref="S8:V8" si="1">S6-S7</f>
        <v>74.181881999999987</v>
      </c>
      <c r="T8" s="316">
        <f t="shared" si="1"/>
        <v>11.52356</v>
      </c>
      <c r="U8" s="316">
        <f t="shared" si="1"/>
        <v>2.0781799999999988</v>
      </c>
      <c r="V8" s="316">
        <f t="shared" si="1"/>
        <v>0.64596999999999993</v>
      </c>
    </row>
    <row r="9" spans="1:22" x14ac:dyDescent="0.25">
      <c r="A9" s="344">
        <v>13</v>
      </c>
      <c r="B9" s="89" t="s">
        <v>26</v>
      </c>
      <c r="C9" s="89">
        <v>48682</v>
      </c>
      <c r="D9" s="343">
        <v>2E-3</v>
      </c>
      <c r="E9" s="343">
        <v>4.2000000000000003E-2</v>
      </c>
      <c r="F9" s="345">
        <v>0.1</v>
      </c>
      <c r="G9" s="346">
        <f>((C9*(1-(D9+E9))*'Travel Time - Calc'!F8*0.15*'Travel Time - Value'!$B$19)+(C9*(1-(D9+E9))*'Travel Time - Calc'!J8*0.65*'Travel Time - Value'!$B$19)+(C9*(1-(D9+E9))*'Travel Time - Calc'!H8*0.2*'Travel Time - Value'!$B$19))*(1/3600)*365</f>
        <v>368872.92563696887</v>
      </c>
      <c r="H9" s="342">
        <f>((C9*D9*'Travel Time - Calc'!F8*0.15)+(C9*D9*'Travel Time - Calc'!J8*0.65)+(C9*D9*'Travel Time - Calc'!H8*0.2))*(1/3600)*365</f>
        <v>555.1803462222224</v>
      </c>
      <c r="I9" s="347">
        <f>((C9*E9*'Travel Time - Calc'!F8*0.15*'Travel Time - Value'!$B$20)+(C9*E9*'Travel Time - Calc'!J8*0.65*'Travel Time - Value'!$B$20)+(C9*E9*'Travel Time - Calc'!H8*0.2*'Travel Time - Value'!$B$20))*(1/3600)*365</f>
        <v>11658.787270666668</v>
      </c>
      <c r="J9" s="396">
        <f>((C9*F9*0.15*'Emission - Calc (Non-CO2)'!F10)+(C9*F9*0.65*'Emission - Calc (Non-CO2)'!P10)+(C9*F9*0.2*'Emission - Calc (Non-CO2)'!Z10))*(1/1101500)*365</f>
        <v>0.5164927065592374</v>
      </c>
      <c r="K9" s="397">
        <f>((C9*F9*0.15*'Emission - Calc (Non-CO2)'!G10)+(C9*F9*0.65*'Emission - Calc (Non-CO2)'!Q10)+(C9*F9*0.2*'Emission - Calc (Non-CO2)'!AA10))*(1/1101500)*365</f>
        <v>1.0360665439673171</v>
      </c>
      <c r="L9" s="397">
        <f>((C9*F9*0.15*'Emission - Calc (Non-CO2)'!H10)+(C9*F9*0.65*'Emission - Calc (Non-CO2)'!R10)+(C9*F9*0.2*'Emission - Calc (Non-CO2)'!AB10))*(1/1000000)*365</f>
        <v>7.610521563649999</v>
      </c>
      <c r="M9" s="397">
        <f>((C9*F9*0.15*'Emission - Calc (Non-CO2)'!I10)+(C9*F9*0.65*'Emission - Calc (Non-CO2)'!S10)+(C9*F9*0.2*'Emission - Calc (Non-CO2)'!AC10))*(1/1101500)*365</f>
        <v>9.6491016609169311E-2</v>
      </c>
      <c r="N9" s="347">
        <f>((C9*F9*0.15*'Emission - Calc (CO2)'!F9)+(C9*F9*0.65*'Emission - Calc (CO2)'!J9)+(C9*F9*0.15*'Emission - Calc (CO2)'!N9))*(1/1101500)*365</f>
        <v>1236.4449043803904</v>
      </c>
      <c r="O9" s="336">
        <f>((C9*F9*1.60934*0.15*'Fuel Savings - Calc'!F10)+(C9*F9*1.60934*0.65*'Fuel Savings - Calc'!J10)+(C9*F9*1.60934*0.2*'Fuel Savings - Calc'!N10))*0.000264172*365</f>
        <v>210245.17275111892</v>
      </c>
    </row>
    <row r="10" spans="1:22" x14ac:dyDescent="0.25">
      <c r="A10" s="344">
        <v>13</v>
      </c>
      <c r="B10" s="89" t="s">
        <v>27</v>
      </c>
      <c r="C10" s="89">
        <v>1534</v>
      </c>
      <c r="D10" s="343">
        <v>2E-3</v>
      </c>
      <c r="E10" s="343">
        <v>4.2000000000000003E-2</v>
      </c>
      <c r="F10" s="345">
        <v>0.1</v>
      </c>
      <c r="G10" s="346">
        <f>((C10*(1-(D10+E10))*'Travel Time - Calc'!F9*0.15*'Travel Time - Value'!$B$19)+(C10*(1-(D10+E10))*'Travel Time - Calc'!J9*0.65*'Travel Time - Value'!$B$19)+(C10*(1-(D10+E10))*'Travel Time - Calc'!H9*0.2*'Travel Time - Value'!$B$19))*(1/3600)*365</f>
        <v>997.20795311944426</v>
      </c>
      <c r="H10" s="342">
        <f>((C10*D10*'Travel Time - Calc'!F9*0.15)+(C10*D10*'Travel Time - Calc'!J9*0.65)+(C10*D10*'Travel Time - Calc'!H9*0.2))*(1/3600)*365</f>
        <v>1.5008698611111113</v>
      </c>
      <c r="I10" s="347">
        <f>((C10*E10*'Travel Time - Calc'!F9*0.15*'Travel Time - Value'!$B$20)+(C10*E10*'Travel Time - Calc'!J9*0.65*'Travel Time - Value'!$B$20)+(C10*E10*'Travel Time - Calc'!H9*0.2*'Travel Time - Value'!$B$20))*(1/3600)*365</f>
        <v>31.518267083333335</v>
      </c>
      <c r="J10" s="396">
        <f>((C10*F10*0.15*'Emission - Calc (Non-CO2)'!F11)+(C10*F10*0.65*'Emission - Calc (Non-CO2)'!P11)+(C10*F10*0.2*'Emission - Calc (Non-CO2)'!Z11))*(1/1101500)*365</f>
        <v>4.6841313209260091E-3</v>
      </c>
      <c r="K10" s="397">
        <f>((C10*F10*0.15*'Emission - Calc (Non-CO2)'!G11)+(C10*F10*0.65*'Emission - Calc (Non-CO2)'!Q11)+(C10*F10*0.2*'Emission - Calc (Non-CO2)'!AA11))*(1/1101500)*365</f>
        <v>1.7574006745347252E-2</v>
      </c>
      <c r="L10" s="397">
        <f>((C10*F10*0.15*'Emission - Calc (Non-CO2)'!H11)+(C10*F10*0.65*'Emission - Calc (Non-CO2)'!R11)+(C10*F10*0.2*'Emission - Calc (Non-CO2)'!AB11))*(1/1000000)*365</f>
        <v>0.12155002203500002</v>
      </c>
      <c r="M10" s="397">
        <f>((C10*F10*0.15*'Emission - Calc (Non-CO2)'!I11)+(C10*F10*0.65*'Emission - Calc (Non-CO2)'!S11)+(C10*F10*0.2*'Emission - Calc (Non-CO2)'!AC11))*(1/1101500)*365</f>
        <v>9.3072647299137555E-4</v>
      </c>
      <c r="N10" s="347">
        <f>((C10*F10*0.15*'Emission - Calc (CO2)'!F10)+(C10*F10*0.65*'Emission - Calc (CO2)'!J10)+(C10*F10*0.15*'Emission - Calc (CO2)'!N10))*(1/1101500)*365</f>
        <v>15.910288697231024</v>
      </c>
      <c r="O10" s="336">
        <f>((C10*F10*1.60934*0.15*'Fuel Savings - Calc'!F11)+(C10*F10*1.60934*0.65*'Fuel Savings - Calc'!J11)+(C10*F10*1.60934*0.2*'Fuel Savings - Calc'!N11))*0.000264172*365</f>
        <v>3009.4675502624355</v>
      </c>
    </row>
    <row r="11" spans="1:22" x14ac:dyDescent="0.25">
      <c r="A11" s="344">
        <v>14</v>
      </c>
      <c r="B11" s="89" t="s">
        <v>26</v>
      </c>
      <c r="C11" s="89">
        <v>48682</v>
      </c>
      <c r="D11" s="343">
        <v>2E-3</v>
      </c>
      <c r="E11" s="343">
        <v>4.2000000000000003E-2</v>
      </c>
      <c r="F11" s="345">
        <v>0.4</v>
      </c>
      <c r="G11" s="346">
        <f>((C11*(1-(D11+E11))*'Travel Time - Calc'!F10*0.15*'Travel Time - Value'!$B$19)+(C11*(1-(D11+E11))*'Travel Time - Calc'!J10*0.65*'Travel Time - Value'!$B$19)+(C11*(1-(D11+E11))*'Travel Time - Calc'!H10*0.2*'Travel Time - Value'!$B$19))*(1/3600)*365</f>
        <v>1025091.5637944853</v>
      </c>
      <c r="H11" s="342">
        <f>((C11*D11*'Travel Time - Calc'!F10*0.15)+(C11*D11*'Travel Time - Calc'!J10*0.65)+(C11*D11*'Travel Time - Calc'!H10*0.2))*(1/3600)*365</f>
        <v>1542.836705388889</v>
      </c>
      <c r="I11" s="347">
        <f>((C11*E11*'Travel Time - Calc'!F10*0.15*'Travel Time - Value'!$B$20)+(C11*E11*'Travel Time - Calc'!J10*0.65*'Travel Time - Value'!$B$20)+(C11*E11*'Travel Time - Calc'!H10*0.2*'Travel Time - Value'!$B$20))*(1/3600)*365</f>
        <v>32399.570813166672</v>
      </c>
      <c r="J11" s="396">
        <f>((C11*F11*0.15*'Emission - Calc (Non-CO2)'!F12)+(C11*F11*0.65*'Emission - Calc (Non-CO2)'!P12)+(C11*F11*0.2*'Emission - Calc (Non-CO2)'!Z12))*(1/1101500)*365</f>
        <v>1.7983479949160235</v>
      </c>
      <c r="K11" s="397">
        <f>((C11*F11*0.15*'Emission - Calc (Non-CO2)'!G12)+(C11*F11*0.65*'Emission - Calc (Non-CO2)'!Q12)+(C11*F11*0.2*'Emission - Calc (Non-CO2)'!AA12))*(1/1101500)*365</f>
        <v>3.807406624112573</v>
      </c>
      <c r="L11" s="397">
        <f>((C11*F11*0.15*'Emission - Calc (Non-CO2)'!H12)+(C11*F11*0.65*'Emission - Calc (Non-CO2)'!R12)+(C11*F11*0.2*'Emission - Calc (Non-CO2)'!AB12))*(1/1000000)*365</f>
        <v>26.792276956879995</v>
      </c>
      <c r="M11" s="397">
        <f>((C11*F11*0.15*'Emission - Calc (Non-CO2)'!I12)+(C11*F11*0.65*'Emission - Calc (Non-CO2)'!S12)+(C11*F11*0.2*'Emission - Calc (Non-CO2)'!AC12))*(1/1101500)*365</f>
        <v>0.33963418267816614</v>
      </c>
      <c r="N11" s="347">
        <f>((C11*F11*0.15*'Emission - Calc (CO2)'!F11)+(C11*F11*0.65*'Emission - Calc (CO2)'!J11)+(C11*F11*0.15*'Emission - Calc (CO2)'!N11))*(1/1101500)*365</f>
        <v>4432.1502655469812</v>
      </c>
      <c r="O11" s="336">
        <f>((C11*F11*1.60934*0.15*'Fuel Savings - Calc'!F12)+(C11*F11*1.60934*0.65*'Fuel Savings - Calc'!J12)+(C11*F11*1.60934*0.2*'Fuel Savings - Calc'!N12))*0.000264172*365</f>
        <v>809123.63147901825</v>
      </c>
    </row>
    <row r="12" spans="1:22" x14ac:dyDescent="0.25">
      <c r="A12" s="344">
        <v>14</v>
      </c>
      <c r="B12" s="89" t="s">
        <v>27</v>
      </c>
      <c r="C12" s="89">
        <v>1534</v>
      </c>
      <c r="D12" s="343">
        <v>2E-3</v>
      </c>
      <c r="E12" s="343">
        <v>4.2000000000000003E-2</v>
      </c>
      <c r="F12" s="345">
        <v>0.1</v>
      </c>
      <c r="G12" s="346">
        <f>((C12*(1-(D12+E12))*'Travel Time - Calc'!F11*0.15*'Travel Time - Value'!$B$19)+(C12*(1-(D12+E12))*'Travel Time - Calc'!J11*0.65*'Travel Time - Value'!$B$19)+(C12*(1-(D12+E12))*'Travel Time - Calc'!H11*0.2*'Travel Time - Value'!$B$19))*(1/3600)*365</f>
        <v>2325.0962637500002</v>
      </c>
      <c r="H12" s="342">
        <f>((C12*D12*'Travel Time - Calc'!F11*0.15)+(C12*D12*'Travel Time - Calc'!J11*0.65)+(C12*D12*'Travel Time - Calc'!H11*0.2))*(1/3600)*365</f>
        <v>3.4994375</v>
      </c>
      <c r="I12" s="347">
        <f>((C12*E12*'Travel Time - Calc'!F11*0.15*'Travel Time - Value'!$B$20)+(C12*E12*'Travel Time - Calc'!J11*0.65*'Travel Time - Value'!$B$20)+(C12*E12*'Travel Time - Calc'!H11*0.2*'Travel Time - Value'!$B$20))*(1/3600)*365</f>
        <v>73.488187499999995</v>
      </c>
      <c r="J12" s="396">
        <f>((C12*F12*0.15*'Emission - Calc (Non-CO2)'!F13)+(C12*F12*0.65*'Emission - Calc (Non-CO2)'!P13)+(C12*F12*0.2*'Emission - Calc (Non-CO2)'!Z13))*(1/1101500)*365</f>
        <v>4.4630138901497959E-3</v>
      </c>
      <c r="K12" s="397">
        <f>((C12*F12*0.15*'Emission - Calc (Non-CO2)'!G13)+(C12*F12*0.65*'Emission - Calc (Non-CO2)'!Q13)+(C12*F12*0.2*'Emission - Calc (Non-CO2)'!AA13))*(1/1101500)*365</f>
        <v>1.7480222455742173E-2</v>
      </c>
      <c r="L12" s="397">
        <f>((C12*F12*0.15*'Emission - Calc (Non-CO2)'!H13)+(C12*F12*0.65*'Emission - Calc (Non-CO2)'!R13)+(C12*F12*0.2*'Emission - Calc (Non-CO2)'!AB13))*(1/1000000)*365</f>
        <v>0.11816704581500001</v>
      </c>
      <c r="M12" s="397">
        <f>((C12*F12*0.15*'Emission - Calc (Non-CO2)'!I13)+(C12*F12*0.65*'Emission - Calc (Non-CO2)'!S13)+(C12*F12*0.2*'Emission - Calc (Non-CO2)'!AC13))*(1/1101500)*365</f>
        <v>8.8269061733999097E-4</v>
      </c>
      <c r="N12" s="347">
        <f>((C12*F12*0.15*'Emission - Calc (CO2)'!F12)+(C12*F12*0.65*'Emission - Calc (CO2)'!J12)+(C12*F12*0.15*'Emission - Calc (CO2)'!N12))*(1/1101500)*365</f>
        <v>15.783209714026279</v>
      </c>
      <c r="O12" s="336">
        <f>((C12*F12*1.60934*0.15*'Fuel Savings - Calc'!F13)+(C12*F12*1.60934*0.65*'Fuel Savings - Calc'!J13)+(C12*F12*1.60934*0.2*'Fuel Savings - Calc'!N13))*0.000264172*365</f>
        <v>2951.5642930419585</v>
      </c>
    </row>
    <row r="13" spans="1:22" x14ac:dyDescent="0.25">
      <c r="A13" s="344">
        <v>22</v>
      </c>
      <c r="B13" s="89" t="s">
        <v>26</v>
      </c>
      <c r="C13" s="89">
        <v>48682</v>
      </c>
      <c r="D13" s="343">
        <v>2E-3</v>
      </c>
      <c r="E13" s="343">
        <v>4.2000000000000003E-2</v>
      </c>
      <c r="F13" s="345">
        <v>0.01</v>
      </c>
      <c r="G13" s="346">
        <f>((C13*(1-(D13+E13))*'Travel Time - Calc'!F12*0.15*'Travel Time - Value'!$B$19)+(C13*(1-(D13+E13))*'Travel Time - Calc'!J12*0.65*'Travel Time - Value'!$B$19)+(C13*(1-(D13+E13))*'Travel Time - Calc'!H12*0.2*'Travel Time - Value'!$B$19))*(1/3600)*365</f>
        <v>24300.750168651666</v>
      </c>
      <c r="H13" s="342">
        <f>((C13*D13*'Travel Time - Calc'!F12*0.15)+(C13*D13*'Travel Time - Calc'!J12*0.65)+(C13*D13*'Travel Time - Calc'!H12*0.2))*(1/3600)*365</f>
        <v>36.574380916666662</v>
      </c>
      <c r="I13" s="347">
        <f>((C13*E13*'Travel Time - Calc'!F12*0.15*'Travel Time - Value'!$B$20)+(C13*E13*'Travel Time - Calc'!J12*0.65*'Travel Time - Value'!$B$20)+(C13*E13*'Travel Time - Calc'!H12*0.2*'Travel Time - Value'!$B$20))*(1/3600)*365</f>
        <v>768.06199924999999</v>
      </c>
      <c r="J13" s="396">
        <f>((C13*F13*0.15*'Emission - Calc (Non-CO2)'!F14)+(C13*F13*0.65*'Emission - Calc (Non-CO2)'!P14)+(C13*F13*0.2*'Emission - Calc (Non-CO2)'!Z14))*(1/1101500)*365</f>
        <v>1.5003978023604174E-2</v>
      </c>
      <c r="K13" s="397">
        <f>((C13*F13*0.15*'Emission - Calc (Non-CO2)'!G14)+(C13*F13*0.65*'Emission - Calc (Non-CO2)'!Q14)+(C13*F13*0.2*'Emission - Calc (Non-CO2)'!AA14))*(1/1101500)*365</f>
        <v>5.5963660423059468E-2</v>
      </c>
      <c r="L13" s="397">
        <f>((C13*F13*0.15*'Emission - Calc (Non-CO2)'!H14)+(C13*F13*0.65*'Emission - Calc (Non-CO2)'!R14)+(C13*F13*0.2*'Emission - Calc (Non-CO2)'!AB14))*(1/1000000)*365</f>
        <v>0.38854075405900002</v>
      </c>
      <c r="M13" s="397">
        <f>((C13*F13*0.15*'Emission - Calc (Non-CO2)'!I14)+(C13*F13*0.65*'Emission - Calc (Non-CO2)'!S14)+(C13*F13*0.2*'Emission - Calc (Non-CO2)'!AC14))*(1/1101500)*365</f>
        <v>2.9932137644121644E-3</v>
      </c>
      <c r="N13" s="347">
        <f>((C13*F13*0.15*'Emission - Calc (CO2)'!F13)+(C13*F13*0.65*'Emission - Calc (CO2)'!J13)+(C13*F13*0.15*'Emission - Calc (CO2)'!N13))*(1/1101500)*365</f>
        <v>50.499895928279471</v>
      </c>
      <c r="O13" s="336">
        <f>((C13*F13*1.60934*0.15*'Fuel Savings - Calc'!F14)+(C13*F13*1.60934*0.65*'Fuel Savings - Calc'!J14)+(C13*F13*1.60934*0.2*'Fuel Savings - Calc'!N14))*0.000264172*365</f>
        <v>9585.864766120847</v>
      </c>
    </row>
    <row r="14" spans="1:22" x14ac:dyDescent="0.25">
      <c r="A14" s="344">
        <v>22</v>
      </c>
      <c r="B14" s="89" t="s">
        <v>27</v>
      </c>
      <c r="C14" s="89">
        <v>1534</v>
      </c>
      <c r="D14" s="343">
        <v>2E-3</v>
      </c>
      <c r="E14" s="343">
        <v>4.2000000000000003E-2</v>
      </c>
      <c r="F14" s="345">
        <v>0.1</v>
      </c>
      <c r="G14" s="346">
        <f>((C14*(1-(D14+E14))*'Travel Time - Calc'!F13*0.15*'Travel Time - Value'!$B$19)+(C14*(1-(D14+E14))*'Travel Time - Calc'!J13*0.65*'Travel Time - Value'!$B$19)+(C14*(1-(D14+E14))*'Travel Time - Calc'!H13*0.2*'Travel Time - Value'!$B$19))*(1/3600)*365</f>
        <v>2654.7432451438885</v>
      </c>
      <c r="H14" s="342">
        <f>((C14*D14*'Travel Time - Calc'!F13*0.15)+(C14*D14*'Travel Time - Calc'!J13*0.65)+(C14*D14*'Travel Time - Calc'!H13*0.2))*(1/3600)*365</f>
        <v>3.9955799722222225</v>
      </c>
      <c r="I14" s="347">
        <f>((C14*E14*'Travel Time - Calc'!F13*0.15*'Travel Time - Value'!$B$20)+(C14*E14*'Travel Time - Calc'!J13*0.65*'Travel Time - Value'!$B$20)+(C14*E14*'Travel Time - Calc'!H13*0.2*'Travel Time - Value'!$B$20))*(1/3600)*365</f>
        <v>83.907179416666665</v>
      </c>
      <c r="J14" s="396">
        <f>((C14*F14*0.15*'Emission - Calc (Non-CO2)'!F15)+(C14*F14*0.65*'Emission - Calc (Non-CO2)'!P15)+(C14*F14*0.2*'Emission - Calc (Non-CO2)'!Z15))*(1/1101500)*365</f>
        <v>4.6978558511121199E-3</v>
      </c>
      <c r="K14" s="397">
        <f>((C14*F14*0.15*'Emission - Calc (Non-CO2)'!G15)+(C14*F14*0.65*'Emission - Calc (Non-CO2)'!Q15)+(C14*F14*0.2*'Emission - Calc (Non-CO2)'!AA15))*(1/1101500)*365</f>
        <v>1.7570956849750342E-2</v>
      </c>
      <c r="L14" s="397">
        <f>((C14*F14*0.15*'Emission - Calc (Non-CO2)'!H15)+(C14*F14*0.65*'Emission - Calc (Non-CO2)'!R15)+(C14*F14*0.2*'Emission - Calc (Non-CO2)'!AB15))*(1/1000000)*365</f>
        <v>0.12162616979500002</v>
      </c>
      <c r="M14" s="397">
        <f>((C14*F14*0.15*'Emission - Calc (Non-CO2)'!I15)+(C14*F14*0.65*'Emission - Calc (Non-CO2)'!S15)+(C14*F14*0.2*'Emission - Calc (Non-CO2)'!AC15))*(1/1101500)*365</f>
        <v>9.3504715842033593E-4</v>
      </c>
      <c r="N14" s="347">
        <f>((C14*F14*0.15*'Emission - Calc (CO2)'!F14)+(C14*F14*0.65*'Emission - Calc (CO2)'!J14)+(C14*F14*0.15*'Emission - Calc (CO2)'!N14))*(1/1101500)*365</f>
        <v>15.936339888788005</v>
      </c>
      <c r="O14" s="336">
        <f>((C14*F14*1.60934*0.15*'Fuel Savings - Calc'!F15)+(C14*F14*1.60934*0.65*'Fuel Savings - Calc'!J15)+(C14*F14*1.60934*0.2*'Fuel Savings - Calc'!N15))*0.000264172*365</f>
        <v>3014.229421939141</v>
      </c>
    </row>
    <row r="15" spans="1:22" x14ac:dyDescent="0.25">
      <c r="A15" s="344">
        <v>23</v>
      </c>
      <c r="B15" s="89" t="s">
        <v>26</v>
      </c>
      <c r="C15" s="89">
        <v>44274</v>
      </c>
      <c r="D15" s="343">
        <v>4.0000000000000001E-3</v>
      </c>
      <c r="E15" s="343">
        <v>5.7000000000000002E-2</v>
      </c>
      <c r="F15" s="345">
        <v>0.1</v>
      </c>
      <c r="G15" s="346">
        <f>((C15*(1-(D15+E15))*'Travel Time - Calc'!F14*0.15*'Travel Time - Value'!$B$19)+(C15*(1-(D15+E15))*'Travel Time - Calc'!J14*0.65*'Travel Time - Value'!$B$19)+(C15*(1-(D15+E15))*'Travel Time - Calc'!H14*0.2*'Travel Time - Value'!$B$19))*(1/3600)*365</f>
        <v>86595.226199455006</v>
      </c>
      <c r="H15" s="342">
        <f>((C15*D15*'Travel Time - Calc'!F14*0.15)+(C15*D15*'Travel Time - Calc'!J14*0.65)+(C15*D15*'Travel Time - Calc'!H14*0.2))*(1/3600)*365</f>
        <v>265.3832753333333</v>
      </c>
      <c r="I15" s="347">
        <f>((C15*E15*'Travel Time - Calc'!F14*0.15*'Travel Time - Value'!$B$20)+(C15*E15*'Travel Time - Calc'!J14*0.65*'Travel Time - Value'!$B$20)+(C15*E15*'Travel Time - Calc'!H14*0.2*'Travel Time - Value'!$B$20))*(1/3600)*365</f>
        <v>3781.7116735</v>
      </c>
      <c r="J15" s="396">
        <f>((C15*F15*0.15*'Emission - Calc (Non-CO2)'!F16)+(C15*F15*0.65*'Emission - Calc (Non-CO2)'!P16)+(C15*F15*0.2*'Emission - Calc (Non-CO2)'!Z16))*(1/1101500)*365</f>
        <v>0.17738013336904224</v>
      </c>
      <c r="K15" s="397">
        <f>((C15*F15*0.15*'Emission - Calc (Non-CO2)'!G16)+(C15*F15*0.65*'Emission - Calc (Non-CO2)'!Q16)+(C15*F15*0.2*'Emission - Calc (Non-CO2)'!AA16))*(1/1101500)*365</f>
        <v>0.55300537171130282</v>
      </c>
      <c r="L15" s="397">
        <f>((C15*F15*0.15*'Emission - Calc (Non-CO2)'!H16)+(C15*F15*0.65*'Emission - Calc (Non-CO2)'!R16)+(C15*F15*0.2*'Emission - Calc (Non-CO2)'!AB16))*(1/1000000)*365</f>
        <v>4.1514500089649999</v>
      </c>
      <c r="M15" s="397">
        <f>((C15*F15*0.15*'Emission - Calc (Non-CO2)'!I16)+(C15*F15*0.65*'Emission - Calc (Non-CO2)'!S16)+(C15*F15*0.2*'Emission - Calc (Non-CO2)'!AC16))*(1/1101500)*365</f>
        <v>3.7234775651384486E-2</v>
      </c>
      <c r="N15" s="347">
        <f>((C15*F15*0.15*'Emission - Calc (CO2)'!F15)+(C15*F15*0.65*'Emission - Calc (CO2)'!J15)+(C15*F15*0.15*'Emission - Calc (CO2)'!N15))*(1/1101500)*365</f>
        <v>490.99876048570115</v>
      </c>
      <c r="O15" s="336">
        <f>((C15*F15*1.60934*0.15*'Fuel Savings - Calc'!F16)+(C15*F15*1.60934*0.65*'Fuel Savings - Calc'!J16)+(C15*F15*1.60934*0.2*'Fuel Savings - Calc'!N16))*0.000264172*365</f>
        <v>98029.174617865108</v>
      </c>
    </row>
    <row r="16" spans="1:22" x14ac:dyDescent="0.25">
      <c r="A16" s="344">
        <v>23</v>
      </c>
      <c r="B16" s="89" t="s">
        <v>27</v>
      </c>
      <c r="C16" s="89">
        <v>43958</v>
      </c>
      <c r="D16" s="343">
        <v>2E-3</v>
      </c>
      <c r="E16" s="343">
        <v>4.8000000000000001E-2</v>
      </c>
      <c r="F16" s="345">
        <v>0.1</v>
      </c>
      <c r="G16" s="346">
        <f>((C16*(1-(D16+E16))*'Travel Time - Calc'!F15*0.15*'Travel Time - Value'!$B$19)+(C16*(1-(D16+E16))*'Travel Time - Calc'!J15*0.65*'Travel Time - Value'!$B$19)+(C16*(1-(D16+E16))*'Travel Time - Calc'!H15*0.2*'Travel Time - Value'!$B$19))*(1/3600)*365</f>
        <v>103021.72299893749</v>
      </c>
      <c r="H16" s="342">
        <f>((C16*D16*'Travel Time - Calc'!F15*0.15)+(C16*D16*'Travel Time - Calc'!J15*0.65)+(C16*D16*'Travel Time - Calc'!H15*0.2))*(1/3600)*365</f>
        <v>156.03441574999999</v>
      </c>
      <c r="I16" s="347">
        <f>((C16*E16*'Travel Time - Calc'!F15*0.15*'Travel Time - Value'!$B$20)+(C16*E16*'Travel Time - Calc'!J15*0.65*'Travel Time - Value'!$B$20)+(C16*E16*'Travel Time - Calc'!H15*0.2*'Travel Time - Value'!$B$20))*(1/3600)*365</f>
        <v>3744.8259779999998</v>
      </c>
      <c r="J16" s="396">
        <f>((C16*F16*0.15*'Emission - Calc (Non-CO2)'!F17)+(C16*F16*0.65*'Emission - Calc (Non-CO2)'!P17)+(C16*F16*0.2*'Emission - Calc (Non-CO2)'!Z17))*(1/1101500)*365</f>
        <v>0.17143689837948253</v>
      </c>
      <c r="K16" s="397">
        <f>((C16*F16*0.15*'Emission - Calc (Non-CO2)'!G17)+(C16*F16*0.65*'Emission - Calc (Non-CO2)'!Q17)+(C16*F16*0.2*'Emission - Calc (Non-CO2)'!AA17))*(1/1101500)*365</f>
        <v>0.54140382832047207</v>
      </c>
      <c r="L16" s="397">
        <f>((C16*F16*0.15*'Emission - Calc (Non-CO2)'!H17)+(C16*F16*0.65*'Emission - Calc (Non-CO2)'!R17)+(C16*F16*0.2*'Emission - Calc (Non-CO2)'!AB17))*(1/1000000)*365</f>
        <v>4.0458239872000004</v>
      </c>
      <c r="M16" s="397">
        <f>((C16*F16*0.15*'Emission - Calc (Non-CO2)'!I17)+(C16*F16*0.65*'Emission - Calc (Non-CO2)'!S17)+(C16*F16*0.2*'Emission - Calc (Non-CO2)'!AC17))*(1/1101500)*365</f>
        <v>3.5541529550612808E-2</v>
      </c>
      <c r="N16" s="347">
        <f>((C16*F16*0.15*'Emission - Calc (CO2)'!F16)+(C16*F16*0.65*'Emission - Calc (CO2)'!J16)+(C16*F16*0.15*'Emission - Calc (CO2)'!N16))*(1/1101500)*365</f>
        <v>484.16230137312664</v>
      </c>
      <c r="O16" s="336">
        <f>((C16*F16*1.60934*0.15*'Fuel Savings - Calc'!F17)+(C16*F16*1.60934*0.65*'Fuel Savings - Calc'!J17)+(C16*F16*1.60934*0.2*'Fuel Savings - Calc'!N17))*0.000264172*365</f>
        <v>96157.115443727249</v>
      </c>
    </row>
    <row r="17" spans="1:15" x14ac:dyDescent="0.25">
      <c r="A17" s="344">
        <v>28</v>
      </c>
      <c r="B17" s="89" t="s">
        <v>26</v>
      </c>
      <c r="C17" s="89">
        <v>41699</v>
      </c>
      <c r="D17" s="343">
        <v>5.0000000000000001E-3</v>
      </c>
      <c r="E17" s="343">
        <v>0.06</v>
      </c>
      <c r="F17" s="345">
        <v>0.4</v>
      </c>
      <c r="G17" s="346">
        <f>((C17*(1-(D17+E17))*'Travel Time - Calc'!F16*0.15*'Travel Time - Value'!$B$19)+(C17*(1-(D17+E17))*'Travel Time - Calc'!J16*0.65*'Travel Time - Value'!$B$19)+(C17*(1-(D17+E17))*'Travel Time - Calc'!H16*0.2*'Travel Time - Value'!$B$19))*(1/3600)*365</f>
        <v>186956.49127911628</v>
      </c>
      <c r="H17" s="342">
        <f>((C17*D17*'Travel Time - Calc'!F16*0.15)+(C17*D17*'Travel Time - Calc'!J16*0.65)+(C17*D17*'Travel Time - Calc'!H16*0.2))*(1/3600)*365</f>
        <v>719.25707413194448</v>
      </c>
      <c r="I17" s="347">
        <f>((C17*E17*'Travel Time - Calc'!F16*0.15*'Travel Time - Value'!$B$20)+(C17*E17*'Travel Time - Calc'!J16*0.65*'Travel Time - Value'!$B$20)+(C17*E17*'Travel Time - Calc'!H16*0.2*'Travel Time - Value'!$B$20))*(1/3600)*365</f>
        <v>8631.0848895833351</v>
      </c>
      <c r="J17" s="396">
        <f>((C17*F17*0.15*'Emission - Calc (Non-CO2)'!F18)+(C17*F17*0.65*'Emission - Calc (Non-CO2)'!P18)+(C17*F17*0.2*'Emission - Calc (Non-CO2)'!Z18))*(1/1101500)*365</f>
        <v>0.54521660175215625</v>
      </c>
      <c r="K17" s="397">
        <f>((C17*F17*0.15*'Emission - Calc (Non-CO2)'!G18)+(C17*F17*0.65*'Emission - Calc (Non-CO2)'!Q18)+(C17*F17*0.2*'Emission - Calc (Non-CO2)'!AA18))*(1/1101500)*365</f>
        <v>1.9264006728642762</v>
      </c>
      <c r="L17" s="397">
        <f>((C17*F17*0.15*'Emission - Calc (Non-CO2)'!H18)+(C17*F17*0.65*'Emission - Calc (Non-CO2)'!R18)+(C17*F17*0.2*'Emission - Calc (Non-CO2)'!AB18))*(1/1000000)*365</f>
        <v>13.779305700090001</v>
      </c>
      <c r="M17" s="397">
        <f>((C17*F17*0.15*'Emission - Calc (Non-CO2)'!I18)+(C17*F17*0.65*'Emission - Calc (Non-CO2)'!S18)+(C17*F17*0.2*'Emission - Calc (Non-CO2)'!AC18))*(1/1101500)*365</f>
        <v>0.10924229442578305</v>
      </c>
      <c r="N17" s="347">
        <f>((C17*F17*0.15*'Emission - Calc (CO2)'!F17)+(C17*F17*0.65*'Emission - Calc (CO2)'!J17)+(C17*F17*0.15*'Emission - Calc (CO2)'!N17))*(1/1101500)*365</f>
        <v>1751.1791277576046</v>
      </c>
      <c r="O17" s="336">
        <f>((C17*F17*1.60934*0.15*'Fuel Savings - Calc'!F18)+(C17*F17*1.60934*0.65*'Fuel Savings - Calc'!J18)+(C17*F17*1.60934*0.2*'Fuel Savings - Calc'!N18))*0.000264172*365</f>
        <v>337003.92266106023</v>
      </c>
    </row>
    <row r="18" spans="1:15" x14ac:dyDescent="0.25">
      <c r="A18" s="344">
        <v>28</v>
      </c>
      <c r="B18" s="89" t="s">
        <v>27</v>
      </c>
      <c r="C18" s="89">
        <v>43395</v>
      </c>
      <c r="D18" s="343">
        <v>3.0000000000000001E-3</v>
      </c>
      <c r="E18" s="343">
        <v>0.05</v>
      </c>
      <c r="F18" s="345">
        <v>0.2</v>
      </c>
      <c r="G18" s="346">
        <f>((C18*(1-(D18+E18))*'Travel Time - Calc'!F17*0.15*'Travel Time - Value'!$B$19)+(C18*(1-(D18+E18))*'Travel Time - Calc'!J17*0.65*'Travel Time - Value'!$B$19)+(C18*(1-(D18+E18))*'Travel Time - Calc'!H17*0.2*'Travel Time - Value'!$B$19))*(1/3600)*365</f>
        <v>150001.15383297915</v>
      </c>
      <c r="H18" s="342">
        <f>((C18*D18*'Travel Time - Calc'!F17*0.15)+(C18*D18*'Travel Time - Calc'!J17*0.65)+(C18*D18*'Travel Time - Calc'!H17*0.2))*(1/3600)*365</f>
        <v>341.86219375000002</v>
      </c>
      <c r="I18" s="347">
        <f>((C18*E18*'Travel Time - Calc'!F17*0.15*'Travel Time - Value'!$B$20)+(C18*E18*'Travel Time - Calc'!J17*0.65*'Travel Time - Value'!$B$20)+(C18*E18*'Travel Time - Calc'!H17*0.2*'Travel Time - Value'!$B$20))*(1/3600)*365</f>
        <v>5697.7032291666674</v>
      </c>
      <c r="J18" s="396">
        <f>((C18*F18*0.15*'Emission - Calc (Non-CO2)'!F19)+(C18*F18*0.65*'Emission - Calc (Non-CO2)'!P19)+(C18*F18*0.2*'Emission - Calc (Non-CO2)'!Z19))*(1/1101500)*365</f>
        <v>0.31495728554244218</v>
      </c>
      <c r="K18" s="397">
        <f>((C18*F18*0.15*'Emission - Calc (Non-CO2)'!G19)+(C18*F18*0.65*'Emission - Calc (Non-CO2)'!Q19)+(C18*F18*0.2*'Emission - Calc (Non-CO2)'!AA19))*(1/1101500)*365</f>
        <v>1.0338530775987289</v>
      </c>
      <c r="L18" s="397">
        <f>((C18*F18*0.15*'Emission - Calc (Non-CO2)'!H19)+(C18*F18*0.65*'Emission - Calc (Non-CO2)'!R19)+(C18*F18*0.2*'Emission - Calc (Non-CO2)'!AB19))*(1/1000000)*365</f>
        <v>7.6864982007</v>
      </c>
      <c r="M18" s="397">
        <f>((C18*F18*0.15*'Emission - Calc (Non-CO2)'!I19)+(C18*F18*0.65*'Emission - Calc (Non-CO2)'!S19)+(C18*F18*0.2*'Emission - Calc (Non-CO2)'!AC19))*(1/1101500)*365</f>
        <v>6.4420793463458928E-2</v>
      </c>
      <c r="N18" s="347">
        <f>((C18*F18*0.15*'Emission - Calc (CO2)'!F18)+(C18*F18*0.65*'Emission - Calc (CO2)'!J18)+(C18*F18*0.15*'Emission - Calc (CO2)'!N18))*(1/1101500)*365</f>
        <v>930.54254397412581</v>
      </c>
      <c r="O18" s="336">
        <f>((C18*F18*1.60934*0.15*'Fuel Savings - Calc'!F19)+(C18*F18*1.60934*0.65*'Fuel Savings - Calc'!J19)+(C18*F18*1.60934*0.2*'Fuel Savings - Calc'!N19))*0.000264172*365</f>
        <v>183490.7363716519</v>
      </c>
    </row>
    <row r="19" spans="1:15" x14ac:dyDescent="0.25">
      <c r="A19" s="344">
        <v>31</v>
      </c>
      <c r="B19" s="89" t="s">
        <v>26</v>
      </c>
      <c r="C19" s="89">
        <v>41767</v>
      </c>
      <c r="D19" s="343">
        <v>3.0000000000000001E-3</v>
      </c>
      <c r="E19" s="343">
        <v>6.2E-2</v>
      </c>
      <c r="F19" s="345">
        <v>0.2</v>
      </c>
      <c r="G19" s="346">
        <f>((C19*(1-(D19+E19))*'Travel Time - Calc'!F18*0.15*'Travel Time - Value'!$B$19)+(C19*(1-(D19+E19))*'Travel Time - Calc'!J18*0.65*'Travel Time - Value'!$B$19)+(C19*(1-(D19+E19))*'Travel Time - Calc'!H18*0.2*'Travel Time - Value'!$B$19))*(1/3600)*365</f>
        <v>144718.22669733231</v>
      </c>
      <c r="H19" s="342">
        <f>((C19*D19*'Travel Time - Calc'!F18*0.15)+(C19*D19*'Travel Time - Calc'!J18*0.65)+(C19*D19*'Travel Time - Calc'!H18*0.2))*(1/3600)*365</f>
        <v>334.05507643750002</v>
      </c>
      <c r="I19" s="347">
        <f>((C19*E19*'Travel Time - Calc'!F18*0.15*'Travel Time - Value'!$B$20)+(C19*E19*'Travel Time - Calc'!J18*0.65*'Travel Time - Value'!$B$20)+(C19*E19*'Travel Time - Calc'!H18*0.2*'Travel Time - Value'!$B$20))*(1/3600)*365</f>
        <v>6903.8049130416684</v>
      </c>
      <c r="J19" s="396">
        <f>((C19*F19*0.15*'Emission - Calc (Non-CO2)'!F20)+(C19*F19*0.65*'Emission - Calc (Non-CO2)'!P20)+(C19*F19*0.2*'Emission - Calc (Non-CO2)'!Z20))*(1/1101500)*365</f>
        <v>0.30776401664548347</v>
      </c>
      <c r="K19" s="397">
        <f>((C19*F19*0.15*'Emission - Calc (Non-CO2)'!G20)+(C19*F19*0.65*'Emission - Calc (Non-CO2)'!Q20)+(C19*F19*0.2*'Emission - Calc (Non-CO2)'!AA20))*(1/1101500)*365</f>
        <v>1.0020149768906037</v>
      </c>
      <c r="L19" s="397">
        <f>((C19*F19*0.15*'Emission - Calc (Non-CO2)'!H20)+(C19*F19*0.65*'Emission - Calc (Non-CO2)'!R20)+(C19*F19*0.2*'Emission - Calc (Non-CO2)'!AB20))*(1/1000000)*365</f>
        <v>7.4694029068450005</v>
      </c>
      <c r="M19" s="397">
        <f>((C19*F19*0.15*'Emission - Calc (Non-CO2)'!I20)+(C19*F19*0.65*'Emission - Calc (Non-CO2)'!S20)+(C19*F19*0.2*'Emission - Calc (Non-CO2)'!AC20))*(1/1101500)*365</f>
        <v>6.3221928679073988E-2</v>
      </c>
      <c r="N19" s="347">
        <f>((C19*F19*0.15*'Emission - Calc (CO2)'!F19)+(C19*F19*0.65*'Emission - Calc (CO2)'!J19)+(C19*F19*0.15*'Emission - Calc (CO2)'!N19))*(1/1101500)*365</f>
        <v>900.96092429641158</v>
      </c>
      <c r="O19" s="336">
        <f>((C19*F19*1.60934*0.15*'Fuel Savings - Calc'!F20)+(C19*F19*1.60934*0.65*'Fuel Savings - Calc'!J20)+(C19*F19*1.60934*0.2*'Fuel Savings - Calc'!N20))*0.000264172*365</f>
        <v>177392.24132928281</v>
      </c>
    </row>
    <row r="20" spans="1:15" x14ac:dyDescent="0.25">
      <c r="A20" s="344">
        <v>31</v>
      </c>
      <c r="B20" s="89" t="s">
        <v>27</v>
      </c>
      <c r="C20" s="89">
        <v>44703</v>
      </c>
      <c r="D20" s="343">
        <v>4.0000000000000001E-3</v>
      </c>
      <c r="E20" s="343">
        <v>4.9000000000000002E-2</v>
      </c>
      <c r="F20" s="345">
        <v>0.2</v>
      </c>
      <c r="G20" s="346">
        <f>((C20*(1-(D20+E20))*'Travel Time - Calc'!F19*0.15*'Travel Time - Value'!$B$19)+(C20*(1-(D20+E20))*'Travel Time - Calc'!J19*0.65*'Travel Time - Value'!$B$19)+(C20*(1-(D20+E20))*'Travel Time - Calc'!H19*0.2*'Travel Time - Value'!$B$19))*(1/3600)*365</f>
        <v>133163.74567736997</v>
      </c>
      <c r="H20" s="342">
        <f>((C20*D20*'Travel Time - Calc'!F19*0.15)+(C20*D20*'Travel Time - Calc'!J19*0.65)+(C20*D20*'Travel Time - Calc'!H19*0.2))*(1/3600)*365</f>
        <v>404.65155600000003</v>
      </c>
      <c r="I20" s="347">
        <f>((C20*E20*'Travel Time - Calc'!F19*0.15*'Travel Time - Value'!$B$20)+(C20*E20*'Travel Time - Calc'!J19*0.65*'Travel Time - Value'!$B$20)+(C20*E20*'Travel Time - Calc'!H19*0.2*'Travel Time - Value'!$B$20))*(1/3600)*365</f>
        <v>4956.9815610000014</v>
      </c>
      <c r="J20" s="396">
        <f>((C20*F20*0.15*'Emission - Calc (Non-CO2)'!F21)+(C20*F20*0.65*'Emission - Calc (Non-CO2)'!P21)+(C20*F20*0.2*'Emission - Calc (Non-CO2)'!Z21))*(1/1101500)*365</f>
        <v>0.32122435396640941</v>
      </c>
      <c r="K20" s="397">
        <f>((C20*F20*0.15*'Emission - Calc (Non-CO2)'!G21)+(C20*F20*0.65*'Emission - Calc (Non-CO2)'!Q21)+(C20*F20*0.2*'Emission - Calc (Non-CO2)'!AA21))*(1/1101500)*365</f>
        <v>1.0680074288742625</v>
      </c>
      <c r="L20" s="397">
        <f>((C20*F20*0.15*'Emission - Calc (Non-CO2)'!H21)+(C20*F20*0.65*'Emission - Calc (Non-CO2)'!R21)+(C20*F20*0.2*'Emission - Calc (Non-CO2)'!AB21))*(1/1000000)*365</f>
        <v>7.7866707322800011</v>
      </c>
      <c r="M20" s="397">
        <f>((C20*F20*0.15*'Emission - Calc (Non-CO2)'!I21)+(C20*F20*0.65*'Emission - Calc (Non-CO2)'!S21)+(C20*F20*0.2*'Emission - Calc (Non-CO2)'!AC21))*(1/1101500)*365</f>
        <v>6.5755211261915567E-2</v>
      </c>
      <c r="N20" s="347">
        <f>((C20*F20*0.15*'Emission - Calc (CO2)'!F20)+(C20*F20*0.65*'Emission - Calc (CO2)'!J20)+(C20*F20*0.15*'Emission - Calc (CO2)'!N20))*(1/1101500)*365</f>
        <v>961.18298507716736</v>
      </c>
      <c r="O20" s="336">
        <f>((C20*F20*1.60934*0.15*'Fuel Savings - Calc'!F21)+(C20*F20*1.60934*0.65*'Fuel Savings - Calc'!J21)+(C20*F20*1.60934*0.2*'Fuel Savings - Calc'!N21))*0.000264172*365</f>
        <v>188339.26849654439</v>
      </c>
    </row>
    <row r="21" spans="1:15" x14ac:dyDescent="0.25">
      <c r="A21" s="344">
        <v>34</v>
      </c>
      <c r="B21" s="89" t="s">
        <v>26</v>
      </c>
      <c r="C21" s="89">
        <v>40658</v>
      </c>
      <c r="D21" s="343">
        <v>3.0000000000000001E-3</v>
      </c>
      <c r="E21" s="343">
        <v>6.2E-2</v>
      </c>
      <c r="F21" s="345">
        <v>0.2</v>
      </c>
      <c r="G21" s="346">
        <f>((C21*(1-(D21+E21))*'Travel Time - Calc'!F20*0.15*'Travel Time - Value'!$B$19)+(C21*(1-(D21+E21))*'Travel Time - Calc'!J20*0.65*'Travel Time - Value'!$B$19)+(C21*(1-(D21+E21))*'Travel Time - Calc'!H20*0.2*'Travel Time - Value'!$B$19))*(1/3600)*365</f>
        <v>162627.13966079932</v>
      </c>
      <c r="H21" s="342">
        <f>((C21*D21*'Travel Time - Calc'!F20*0.15)+(C21*D21*'Travel Time - Calc'!J20*0.65)+(C21*D21*'Travel Time - Calc'!H20*0.2))*(1/3600)*365</f>
        <v>375.3944669583334</v>
      </c>
      <c r="I21" s="347">
        <f>((C21*E21*'Travel Time - Calc'!F20*0.15*'Travel Time - Value'!$B$20)+(C21*E21*'Travel Time - Calc'!J20*0.65*'Travel Time - Value'!$B$20)+(C21*E21*'Travel Time - Calc'!H20*0.2*'Travel Time - Value'!$B$20))*(1/3600)*365</f>
        <v>7758.152317138889</v>
      </c>
      <c r="J21" s="396">
        <f>((C21*F21*0.15*'Emission - Calc (Non-CO2)'!F22)+(C21*F21*0.65*'Emission - Calc (Non-CO2)'!P22)+(C21*F21*0.2*'Emission - Calc (Non-CO2)'!Z22))*(1/1101500)*365</f>
        <v>0.37522793887426237</v>
      </c>
      <c r="K21" s="397">
        <f>((C21*F21*0.15*'Emission - Calc (Non-CO2)'!G22)+(C21*F21*0.65*'Emission - Calc (Non-CO2)'!Q22)+(C21*F21*0.2*'Emission - Calc (Non-CO2)'!AA22))*(1/1101500)*365</f>
        <v>1.0870576092782569</v>
      </c>
      <c r="L21" s="397">
        <f>((C21*F21*0.15*'Emission - Calc (Non-CO2)'!H22)+(C21*F21*0.65*'Emission - Calc (Non-CO2)'!R22)+(C21*F21*0.2*'Emission - Calc (Non-CO2)'!AB22))*(1/1000000)*365</f>
        <v>8.2516242456099995</v>
      </c>
      <c r="M21" s="397">
        <f>((C21*F21*0.15*'Emission - Calc (Non-CO2)'!I22)+(C21*F21*0.65*'Emission - Calc (Non-CO2)'!S22)+(C21*F21*0.2*'Emission - Calc (Non-CO2)'!AC22))*(1/1101500)*365</f>
        <v>7.9003864620971406E-2</v>
      </c>
      <c r="N21" s="347">
        <f>((C21*F21*0.15*'Emission - Calc (CO2)'!F21)+(C21*F21*0.65*'Emission - Calc (CO2)'!J21)+(C21*F21*0.15*'Emission - Calc (CO2)'!N21))*(1/1101500)*365</f>
        <v>983.33809157966402</v>
      </c>
      <c r="O21" s="336">
        <f>((C21*F21*1.60934*0.15*'Fuel Savings - Calc'!F22)+(C21*F21*1.60934*0.65*'Fuel Savings - Calc'!J22)+(C21*F21*1.60934*0.2*'Fuel Savings - Calc'!N22))*0.000264172*365</f>
        <v>195013.56333805792</v>
      </c>
    </row>
    <row r="22" spans="1:15" x14ac:dyDescent="0.25">
      <c r="A22" s="344">
        <v>34</v>
      </c>
      <c r="B22" s="89" t="s">
        <v>27</v>
      </c>
      <c r="C22" s="89">
        <v>46834</v>
      </c>
      <c r="D22" s="343">
        <v>4.0000000000000001E-3</v>
      </c>
      <c r="E22" s="343">
        <v>5.0999999999999997E-2</v>
      </c>
      <c r="F22" s="345">
        <v>0.1</v>
      </c>
      <c r="G22" s="346">
        <f>((C22*(1-(D22+E22))*'Travel Time - Calc'!F21*0.15*'Travel Time - Value'!$B$19)+(C22*(1-(D22+E22))*'Travel Time - Calc'!J21*0.65*'Travel Time - Value'!$B$19)+(C22*(1-(D22+E22))*'Travel Time - Calc'!H21*0.2*'Travel Time - Value'!$B$19))*(1/3600)*365</f>
        <v>78808.574193956258</v>
      </c>
      <c r="H22" s="342">
        <f>((C22*D22*'Travel Time - Calc'!F21*0.15)+(C22*D22*'Travel Time - Calc'!J21*0.65)+(C22*D22*'Travel Time - Calc'!H21*0.2))*(1/3600)*365</f>
        <v>239.98652261111113</v>
      </c>
      <c r="I22" s="347">
        <f>((C22*E22*'Travel Time - Calc'!F21*0.15*'Travel Time - Value'!$B$20)+(C22*E22*'Travel Time - Calc'!J21*0.65*'Travel Time - Value'!$B$20)+(C22*E22*'Travel Time - Calc'!H21*0.2*'Travel Time - Value'!$B$20))*(1/3600)*365</f>
        <v>3059.8281632916664</v>
      </c>
      <c r="J22" s="396">
        <f>((C22*F22*0.15*'Emission - Calc (Non-CO2)'!F23)+(C22*F22*0.65*'Emission - Calc (Non-CO2)'!P23)+(C22*F22*0.2*'Emission - Calc (Non-CO2)'!Z23))*(1/1101500)*365</f>
        <v>0.15162268334089879</v>
      </c>
      <c r="K22" s="397">
        <f>((C22*F22*0.15*'Emission - Calc (Non-CO2)'!G23)+(C22*F22*0.65*'Emission - Calc (Non-CO2)'!Q23)+(C22*F22*0.2*'Emission - Calc (Non-CO2)'!AA23))*(1/1101500)*365</f>
        <v>0.54307924061734014</v>
      </c>
      <c r="L22" s="397">
        <f>((C22*F22*0.15*'Emission - Calc (Non-CO2)'!H23)+(C22*F22*0.65*'Emission - Calc (Non-CO2)'!R23)+(C22*F22*0.2*'Emission - Calc (Non-CO2)'!AB23))*(1/1000000)*365</f>
        <v>3.8400711679900006</v>
      </c>
      <c r="M22" s="397">
        <f>((C22*F22*0.15*'Emission - Calc (Non-CO2)'!I23)+(C22*F22*0.65*'Emission - Calc (Non-CO2)'!S23)+(C22*F22*0.2*'Emission - Calc (Non-CO2)'!AC23))*(1/1101500)*365</f>
        <v>3.0479728769859289E-2</v>
      </c>
      <c r="N22" s="347">
        <f>((C22*F22*0.15*'Emission - Calc (CO2)'!F22)+(C22*F22*0.65*'Emission - Calc (CO2)'!J22)+(C22*F22*0.15*'Emission - Calc (CO2)'!N22))*(1/1101500)*365</f>
        <v>492.56033171811168</v>
      </c>
      <c r="O22" s="336">
        <f>((C22*F22*1.60934*0.15*'Fuel Savings - Calc'!F23)+(C22*F22*1.60934*0.65*'Fuel Savings - Calc'!J23)+(C22*F22*1.60934*0.2*'Fuel Savings - Calc'!N23))*0.000264172*365</f>
        <v>94239.064642047146</v>
      </c>
    </row>
    <row r="23" spans="1:15" x14ac:dyDescent="0.25">
      <c r="A23" s="344">
        <v>35</v>
      </c>
      <c r="B23" s="89" t="s">
        <v>26</v>
      </c>
      <c r="C23" s="89">
        <v>43413</v>
      </c>
      <c r="D23" s="343">
        <v>8.0000000000000002E-3</v>
      </c>
      <c r="E23" s="343">
        <v>0.06</v>
      </c>
      <c r="F23" s="345">
        <v>0.1</v>
      </c>
      <c r="G23" s="346">
        <f>((C23*(1-(D23+E23))*'Travel Time - Calc'!F22*0.15*'Travel Time - Value'!$B$19)+(C23*(1-(D23+E23))*'Travel Time - Calc'!J22*0.65*'Travel Time - Value'!$B$19)+(C23*(1-(D23+E23))*'Travel Time - Calc'!H22*0.2*'Travel Time - Value'!$B$19))*(1/3600)*365</f>
        <v>115440.62134902415</v>
      </c>
      <c r="H23" s="342">
        <f>((C23*D23*'Travel Time - Calc'!F22*0.15)+(C23*D23*'Travel Time - Calc'!J22*0.65)+(C23*D23*'Travel Time - Calc'!H22*0.2))*(1/3600)*365</f>
        <v>712.88246116666676</v>
      </c>
      <c r="I23" s="347">
        <f>((C23*E23*'Travel Time - Calc'!F22*0.15*'Travel Time - Value'!$B$20)+(C23*E23*'Travel Time - Calc'!J22*0.65*'Travel Time - Value'!$B$20)+(C23*E23*'Travel Time - Calc'!H22*0.2*'Travel Time - Value'!$B$20))*(1/3600)*365</f>
        <v>5346.6184587499993</v>
      </c>
      <c r="J23" s="396">
        <f>((C23*F23*0.15*'Emission - Calc (Non-CO2)'!F24)+(C23*F23*0.65*'Emission - Calc (Non-CO2)'!P24)+(C23*F23*0.2*'Emission - Calc (Non-CO2)'!Z24))*(1/1101500)*365</f>
        <v>0.20255652516795281</v>
      </c>
      <c r="K23" s="397">
        <f>((C23*F23*0.15*'Emission - Calc (Non-CO2)'!G24)+(C23*F23*0.65*'Emission - Calc (Non-CO2)'!Q24)+(C23*F23*0.2*'Emission - Calc (Non-CO2)'!AA24))*(1/1101500)*365</f>
        <v>0.58345140781661375</v>
      </c>
      <c r="L23" s="397">
        <f>((C23*F23*0.15*'Emission - Calc (Non-CO2)'!H24)+(C23*F23*0.65*'Emission - Calc (Non-CO2)'!R24)+(C23*F23*0.2*'Emission - Calc (Non-CO2)'!AB24))*(1/1000000)*365</f>
        <v>4.4253125120025008</v>
      </c>
      <c r="M23" s="397">
        <f>((C23*F23*0.15*'Emission - Calc (Non-CO2)'!I24)+(C23*F23*0.65*'Emission - Calc (Non-CO2)'!S24)+(C23*F23*0.2*'Emission - Calc (Non-CO2)'!AC24))*(1/1101500)*365</f>
        <v>4.2559815326827059E-2</v>
      </c>
      <c r="N23" s="347">
        <f>((C23*F23*0.15*'Emission - Calc (CO2)'!F23)+(C23*F23*0.65*'Emission - Calc (CO2)'!J23)+(C23*F23*0.15*'Emission - Calc (CO2)'!N23))*(1/1101500)*365</f>
        <v>527.41227967544251</v>
      </c>
      <c r="O23" s="336">
        <f>((C23*F23*1.60934*0.15*'Fuel Savings - Calc'!F24)+(C23*F23*1.60934*0.65*'Fuel Savings - Calc'!J24)+(C23*F23*1.60934*0.2*'Fuel Savings - Calc'!N24))*0.000264172*365</f>
        <v>104851.3166111655</v>
      </c>
    </row>
    <row r="24" spans="1:15" x14ac:dyDescent="0.25">
      <c r="A24" s="344">
        <v>35</v>
      </c>
      <c r="B24" s="89" t="s">
        <v>27</v>
      </c>
      <c r="C24" s="89">
        <v>46834</v>
      </c>
      <c r="D24" s="343">
        <v>4.0000000000000001E-3</v>
      </c>
      <c r="E24" s="343">
        <v>5.0999999999999997E-2</v>
      </c>
      <c r="F24" s="345">
        <v>0.1</v>
      </c>
      <c r="G24" s="346">
        <f>((C24*(1-(D24+E24))*'Travel Time - Calc'!F23*0.15*'Travel Time - Value'!$B$19)+(C24*(1-(D24+E24))*'Travel Time - Calc'!J23*0.65*'Travel Time - Value'!$B$19)+(C24*(1-(D24+E24))*'Travel Time - Calc'!H23*0.2*'Travel Time - Value'!$B$19))*(1/3600)*365</f>
        <v>131888.19163681875</v>
      </c>
      <c r="H24" s="342">
        <f>((C24*D24*'Travel Time - Calc'!F23*0.15)+(C24*D24*'Travel Time - Calc'!J23*0.65)+(C24*D24*'Travel Time - Calc'!H23*0.2))*(1/3600)*365</f>
        <v>401.62366605555559</v>
      </c>
      <c r="I24" s="347">
        <f>((C24*E24*'Travel Time - Calc'!F23*0.15*'Travel Time - Value'!$B$20)+(C24*E24*'Travel Time - Calc'!J23*0.65*'Travel Time - Value'!$B$20)+(C24*E24*'Travel Time - Calc'!H23*0.2*'Travel Time - Value'!$B$20))*(1/3600)*365</f>
        <v>5120.7017422083327</v>
      </c>
      <c r="J24" s="396">
        <f>((C24*F24*0.15*'Emission - Calc (Non-CO2)'!F25)+(C24*F24*0.65*'Emission - Calc (Non-CO2)'!P25)+(C24*F24*0.2*'Emission - Calc (Non-CO2)'!Z25))*(1/1101500)*365</f>
        <v>0.21141820011802093</v>
      </c>
      <c r="K24" s="397">
        <f>((C24*F24*0.15*'Emission - Calc (Non-CO2)'!G25)+(C24*F24*0.65*'Emission - Calc (Non-CO2)'!Q25)+(C24*F24*0.2*'Emission - Calc (Non-CO2)'!AA25))*(1/1101500)*365</f>
        <v>0.61926304333182036</v>
      </c>
      <c r="L24" s="397">
        <f>((C24*F24*0.15*'Emission - Calc (Non-CO2)'!H25)+(C24*F24*0.65*'Emission - Calc (Non-CO2)'!R25)+(C24*F24*0.2*'Emission - Calc (Non-CO2)'!AB25))*(1/1000000)*365</f>
        <v>4.66805601075</v>
      </c>
      <c r="M24" s="397">
        <f>((C24*F24*0.15*'Emission - Calc (Non-CO2)'!I25)+(C24*F24*0.65*'Emission - Calc (Non-CO2)'!S25)+(C24*F24*0.2*'Emission - Calc (Non-CO2)'!AC25))*(1/1101500)*365</f>
        <v>4.4408219895596922E-2</v>
      </c>
      <c r="N24" s="347">
        <f>((C24*F24*0.15*'Emission - Calc (CO2)'!F24)+(C24*F24*0.65*'Emission - Calc (CO2)'!J24)+(C24*F24*0.15*'Emission - Calc (CO2)'!N24))*(1/1101500)*365</f>
        <v>564.22028466863389</v>
      </c>
      <c r="O24" s="336">
        <f>((C24*F24*1.60934*0.15*'Fuel Savings - Calc'!F25)+(C24*F24*1.60934*0.65*'Fuel Savings - Calc'!J25)+(C24*F24*1.60934*0.2*'Fuel Savings - Calc'!N25))*0.000264172*365</f>
        <v>111062.04016605357</v>
      </c>
    </row>
    <row r="25" spans="1:15" x14ac:dyDescent="0.25">
      <c r="A25" s="344">
        <v>36</v>
      </c>
      <c r="B25" s="89" t="s">
        <v>26</v>
      </c>
      <c r="C25" s="89">
        <v>43413</v>
      </c>
      <c r="D25" s="343">
        <v>8.0000000000000002E-3</v>
      </c>
      <c r="E25" s="343">
        <v>0.06</v>
      </c>
      <c r="F25" s="345">
        <v>0.1</v>
      </c>
      <c r="G25" s="346">
        <f>((C25*(1-(D25+E25))*'Travel Time - Calc'!F24*0.15*'Travel Time - Value'!$B$19)+(C25*(1-(D25+E25))*'Travel Time - Calc'!J24*0.65*'Travel Time - Value'!$B$19)+(C25*(1-(D25+E25))*'Travel Time - Calc'!H24*0.2*'Travel Time - Value'!$B$19))*(1/3600)*365</f>
        <v>76751.334322443334</v>
      </c>
      <c r="H25" s="342">
        <f>((C25*D25*'Travel Time - Calc'!F24*0.15)+(C25*D25*'Travel Time - Calc'!J24*0.65)+(C25*D25*'Travel Time - Calc'!H24*0.2))*(1/3600)*365</f>
        <v>473.96383933333345</v>
      </c>
      <c r="I25" s="347">
        <f>((C25*E25*'Travel Time - Calc'!F24*0.15*'Travel Time - Value'!$B$20)+(C25*E25*'Travel Time - Calc'!J24*0.65*'Travel Time - Value'!$B$20)+(C25*E25*'Travel Time - Calc'!H24*0.2*'Travel Time - Value'!$B$20))*(1/3600)*365</f>
        <v>3554.7287949999995</v>
      </c>
      <c r="J25" s="396">
        <f>((C25*F25*0.15*'Emission - Calc (Non-CO2)'!F26)+(C25*F25*0.65*'Emission - Calc (Non-CO2)'!P26)+(C25*F25*0.2*'Emission - Calc (Non-CO2)'!Z26))*(1/1101500)*365</f>
        <v>0.13686465540626422</v>
      </c>
      <c r="K25" s="397">
        <f>((C25*F25*0.15*'Emission - Calc (Non-CO2)'!G26)+(C25*F25*0.65*'Emission - Calc (Non-CO2)'!Q26)+(C25*F25*0.2*'Emission - Calc (Non-CO2)'!AA26))*(1/1101500)*365</f>
        <v>0.49994296503404451</v>
      </c>
      <c r="L25" s="397">
        <f>((C25*F25*0.15*'Emission - Calc (Non-CO2)'!H26)+(C25*F25*0.65*'Emission - Calc (Non-CO2)'!R26)+(C25*F25*0.2*'Emission - Calc (Non-CO2)'!AB26))*(1/1000000)*365</f>
        <v>3.5034625280100005</v>
      </c>
      <c r="M25" s="397">
        <f>((C25*F25*0.15*'Emission - Calc (Non-CO2)'!I26)+(C25*F25*0.65*'Emission - Calc (Non-CO2)'!S26)+(C25*F25*0.2*'Emission - Calc (Non-CO2)'!AC26))*(1/1101500)*365</f>
        <v>2.7397386611438947E-2</v>
      </c>
      <c r="N25" s="347">
        <f>((C25*F25*0.15*'Emission - Calc (CO2)'!F25)+(C25*F25*0.65*'Emission - Calc (CO2)'!J25)+(C25*F25*0.15*'Emission - Calc (CO2)'!N25))*(1/1101500)*365</f>
        <v>453.20053476509253</v>
      </c>
      <c r="O25" s="336">
        <f>((C25*F25*1.60934*0.15*'Fuel Savings - Calc'!F26)+(C25*F25*1.60934*0.65*'Fuel Savings - Calc'!J26)+(C25*F25*1.60934*0.2*'Fuel Savings - Calc'!N26))*0.000264172*365</f>
        <v>86368.771326501752</v>
      </c>
    </row>
    <row r="26" spans="1:15" x14ac:dyDescent="0.25">
      <c r="A26" s="344">
        <v>36</v>
      </c>
      <c r="B26" s="89" t="s">
        <v>27</v>
      </c>
      <c r="C26" s="89">
        <v>42974</v>
      </c>
      <c r="D26" s="343">
        <v>3.0000000000000001E-3</v>
      </c>
      <c r="E26" s="343">
        <v>5.0999999999999997E-2</v>
      </c>
      <c r="F26" s="345">
        <v>0.3</v>
      </c>
      <c r="G26" s="346">
        <f>((C26*(1-(D26+E26))*'Travel Time - Calc'!F25*0.15*'Travel Time - Value'!$B$19)+(C26*(1-(D26+E26))*'Travel Time - Calc'!J25*0.65*'Travel Time - Value'!$B$19)+(C26*(1-(D26+E26))*'Travel Time - Calc'!H25*0.2*'Travel Time - Value'!$B$19))*(1/3600)*365</f>
        <v>200296.56611061771</v>
      </c>
      <c r="H26" s="342">
        <f>((C26*D26*'Travel Time - Calc'!F25*0.15)+(C26*D26*'Travel Time - Calc'!J25*0.65)+(C26*D26*'Travel Time - Calc'!H25*0.2))*(1/3600)*365</f>
        <v>456.97119133333337</v>
      </c>
      <c r="I26" s="347">
        <f>((C26*E26*'Travel Time - Calc'!F25*0.15*'Travel Time - Value'!$B$20)+(C26*E26*'Travel Time - Calc'!J25*0.65*'Travel Time - Value'!$B$20)+(C26*E26*'Travel Time - Calc'!H25*0.2*'Travel Time - Value'!$B$20))*(1/3600)*365</f>
        <v>7768.5102526666678</v>
      </c>
      <c r="J26" s="396">
        <f>((C26*F26*0.15*'Emission - Calc (Non-CO2)'!F27)+(C26*F26*0.65*'Emission - Calc (Non-CO2)'!P27)+(C26*F26*0.2*'Emission - Calc (Non-CO2)'!Z27))*(1/1101500)*365</f>
        <v>0.49916661351339081</v>
      </c>
      <c r="K26" s="397">
        <f>((C26*F26*0.15*'Emission - Calc (Non-CO2)'!G27)+(C26*F26*0.65*'Emission - Calc (Non-CO2)'!Q27)+(C26*F26*0.2*'Emission - Calc (Non-CO2)'!AA27))*(1/1101500)*365</f>
        <v>1.5818299269859282</v>
      </c>
      <c r="L26" s="397">
        <f>((C26*F26*0.15*'Emission - Calc (Non-CO2)'!H27)+(C26*F26*0.65*'Emission - Calc (Non-CO2)'!R27)+(C26*F26*0.2*'Emission - Calc (Non-CO2)'!AB27))*(1/1000000)*365</f>
        <v>11.841375793995001</v>
      </c>
      <c r="M26" s="397">
        <f>((C26*F26*0.15*'Emission - Calc (Non-CO2)'!I27)+(C26*F26*0.65*'Emission - Calc (Non-CO2)'!S27)+(C26*F26*0.2*'Emission - Calc (Non-CO2)'!AC27))*(1/1101500)*365</f>
        <v>0.10289210395369951</v>
      </c>
      <c r="N26" s="347">
        <f>((C26*F26*0.15*'Emission - Calc (CO2)'!F26)+(C26*F26*0.65*'Emission - Calc (CO2)'!J26)+(C26*F26*0.15*'Emission - Calc (CO2)'!N26))*(1/1101500)*365</f>
        <v>1428.3568593281848</v>
      </c>
      <c r="O26" s="336">
        <f>((C26*F26*1.60934*0.15*'Fuel Savings - Calc'!F27)+(C26*F26*1.60934*0.65*'Fuel Savings - Calc'!J27)+(C26*F26*1.60934*0.2*'Fuel Savings - Calc'!N27))*0.000264172*365</f>
        <v>281344.20111625828</v>
      </c>
    </row>
    <row r="27" spans="1:15" x14ac:dyDescent="0.25">
      <c r="A27" s="344">
        <v>41</v>
      </c>
      <c r="B27" s="89" t="s">
        <v>26</v>
      </c>
      <c r="C27" s="89">
        <v>39444</v>
      </c>
      <c r="D27" s="343">
        <v>8.0000000000000002E-3</v>
      </c>
      <c r="E27" s="343">
        <v>0.06</v>
      </c>
      <c r="F27" s="345">
        <v>0.1</v>
      </c>
      <c r="G27" s="346">
        <f>((C27*(1-(D27+E27))*'Travel Time - Calc'!F26*0.15*'Travel Time - Value'!$B$19)+(C27*(1-(D27+E27))*'Travel Time - Calc'!J26*0.65*'Travel Time - Value'!$B$19)+(C27*(1-(D27+E27))*'Travel Time - Calc'!H26*0.2*'Travel Time - Value'!$B$19))*(1/3600)*365</f>
        <v>162238.69430243663</v>
      </c>
      <c r="H27" s="342">
        <f>((C27*D27*'Travel Time - Calc'!F26*0.15)+(C27*D27*'Travel Time - Calc'!J26*0.65)+(C27*D27*'Travel Time - Calc'!H26*0.2))*(1/3600)*365</f>
        <v>1001.8754086666669</v>
      </c>
      <c r="I27" s="347">
        <f>((C27*E27*'Travel Time - Calc'!F26*0.15*'Travel Time - Value'!$B$20)+(C27*E27*'Travel Time - Calc'!J26*0.65*'Travel Time - Value'!$B$20)+(C27*E27*'Travel Time - Calc'!H26*0.2*'Travel Time - Value'!$B$20))*(1/3600)*365</f>
        <v>7514.0655650000008</v>
      </c>
      <c r="J27" s="396">
        <f>((C27*F27*0.15*'Emission - Calc (Non-CO2)'!F28)+(C27*F27*0.65*'Emission - Calc (Non-CO2)'!P28)+(C27*F27*0.2*'Emission - Calc (Non-CO2)'!Z28))*(1/1101500)*365</f>
        <v>0.31919255765773946</v>
      </c>
      <c r="K27" s="397">
        <f>((C27*F27*0.15*'Emission - Calc (Non-CO2)'!G28)+(C27*F27*0.65*'Emission - Calc (Non-CO2)'!Q28)+(C27*F27*0.2*'Emission - Calc (Non-CO2)'!AA28))*(1/1101500)*365</f>
        <v>0.7074687836132546</v>
      </c>
      <c r="L27" s="397">
        <f>((C27*F27*0.15*'Emission - Calc (Non-CO2)'!H28)+(C27*F27*0.65*'Emission - Calc (Non-CO2)'!R28)+(C27*F27*0.2*'Emission - Calc (Non-CO2)'!AB28))*(1/1000000)*365</f>
        <v>5.4041308313099998</v>
      </c>
      <c r="M27" s="397">
        <f>((C27*F27*0.15*'Emission - Calc (Non-CO2)'!I28)+(C27*F27*0.65*'Emission - Calc (Non-CO2)'!S28)+(C27*F27*0.2*'Emission - Calc (Non-CO2)'!AC28))*(1/1101500)*365</f>
        <v>6.1973363586019063E-2</v>
      </c>
      <c r="N27" s="347">
        <f>((C27*F27*0.15*'Emission - Calc (CO2)'!F27)+(C27*F27*0.65*'Emission - Calc (CO2)'!J27)+(C27*F27*0.15*'Emission - Calc (CO2)'!N27))*(1/1101500)*365</f>
        <v>811.91772208352256</v>
      </c>
      <c r="O27" s="336">
        <f>((C27*F27*1.60934*0.15*'Fuel Savings - Calc'!F28)+(C27*F27*1.60934*0.65*'Fuel Savings - Calc'!J28)+(C27*F27*1.60934*0.2*'Fuel Savings - Calc'!N28))*0.000264172*365</f>
        <v>142019.33912359847</v>
      </c>
    </row>
    <row r="28" spans="1:15" x14ac:dyDescent="0.25">
      <c r="A28" s="344">
        <v>41</v>
      </c>
      <c r="B28" s="89" t="s">
        <v>27</v>
      </c>
      <c r="C28" s="89">
        <v>43926</v>
      </c>
      <c r="D28" s="343">
        <v>3.0000000000000001E-3</v>
      </c>
      <c r="E28" s="343">
        <v>5.0999999999999997E-2</v>
      </c>
      <c r="F28" s="345">
        <v>0.2</v>
      </c>
      <c r="G28" s="346">
        <f>((C28*(1-(D28+E28))*'Travel Time - Calc'!F27*0.15*'Travel Time - Value'!$B$19)+(C28*(1-(D28+E28))*'Travel Time - Calc'!J27*0.65*'Travel Time - Value'!$B$19)+(C28*(1-(D28+E28))*'Travel Time - Calc'!H27*0.2*'Travel Time - Value'!$B$19))*(1/3600)*365</f>
        <v>82982.747101778339</v>
      </c>
      <c r="H28" s="342">
        <f>((C28*D28*'Travel Time - Calc'!F27*0.15)+(C28*D28*'Travel Time - Calc'!J27*0.65)+(C28*D28*'Travel Time - Calc'!H27*0.2))*(1/3600)*365</f>
        <v>189.32289025</v>
      </c>
      <c r="I28" s="347">
        <f>((C28*E28*'Travel Time - Calc'!F27*0.15*'Travel Time - Value'!$B$20)+(C28*E28*'Travel Time - Calc'!J27*0.65*'Travel Time - Value'!$B$20)+(C28*E28*'Travel Time - Calc'!H27*0.2*'Travel Time - Value'!$B$20))*(1/3600)*365</f>
        <v>3218.48913425</v>
      </c>
      <c r="J28" s="396">
        <f>((C28*F28*0.15*'Emission - Calc (Non-CO2)'!F29)+(C28*F28*0.65*'Emission - Calc (Non-CO2)'!P29)+(C28*F28*0.2*'Emission - Calc (Non-CO2)'!Z29))*(1/1101500)*365</f>
        <v>0.26497008620971407</v>
      </c>
      <c r="K28" s="397">
        <f>((C28*F28*0.15*'Emission - Calc (Non-CO2)'!G29)+(C28*F28*0.65*'Emission - Calc (Non-CO2)'!Q29)+(C28*F28*0.2*'Emission - Calc (Non-CO2)'!AA29))*(1/1101500)*365</f>
        <v>1.0046564101497959</v>
      </c>
      <c r="L28" s="397">
        <f>((C28*F28*0.15*'Emission - Calc (Non-CO2)'!H29)+(C28*F28*0.65*'Emission - Calc (Non-CO2)'!R29)+(C28*F28*0.2*'Emission - Calc (Non-CO2)'!AB29))*(1/1000000)*365</f>
        <v>6.9045269785500007</v>
      </c>
      <c r="M28" s="397">
        <f>((C28*F28*0.15*'Emission - Calc (Non-CO2)'!I29)+(C28*F28*0.65*'Emission - Calc (Non-CO2)'!S29)+(C28*F28*0.2*'Emission - Calc (Non-CO2)'!AC29))*(1/1101500)*365</f>
        <v>5.2618482841579661E-2</v>
      </c>
      <c r="N28" s="347">
        <f>((C28*F28*0.15*'Emission - Calc (CO2)'!F28)+(C28*F28*0.65*'Emission - Calc (CO2)'!J28)+(C28*F28*0.15*'Emission - Calc (CO2)'!N28))*(1/1101500)*365</f>
        <v>910.59814289604969</v>
      </c>
      <c r="O28" s="336">
        <f>((C28*F28*1.60934*0.15*'Fuel Savings - Calc'!F29)+(C28*F28*1.60934*0.65*'Fuel Savings - Calc'!J29)+(C28*F28*1.60934*0.2*'Fuel Savings - Calc'!N29))*0.000264172*365</f>
        <v>171524.60941961131</v>
      </c>
    </row>
    <row r="29" spans="1:15" x14ac:dyDescent="0.25">
      <c r="A29" s="344">
        <v>42</v>
      </c>
      <c r="B29" s="89" t="s">
        <v>26</v>
      </c>
      <c r="C29" s="89">
        <v>43926</v>
      </c>
      <c r="D29" s="343">
        <v>2E-3</v>
      </c>
      <c r="E29" s="343">
        <v>6.3E-2</v>
      </c>
      <c r="F29" s="345">
        <v>0.2</v>
      </c>
      <c r="G29" s="346">
        <f>((C29*(1-(D29+E29))*'Travel Time - Calc'!F28*0.15*'Travel Time - Value'!$B$19)+(C29*(1-(D29+E29))*'Travel Time - Calc'!J28*0.65*'Travel Time - Value'!$B$19)+(C29*(1-(D29+E29))*'Travel Time - Calc'!H28*0.2*'Travel Time - Value'!$B$19))*(1/3600)*365</f>
        <v>518066.76096264372</v>
      </c>
      <c r="H29" s="342">
        <f>((C29*D29*'Travel Time - Calc'!F28*0.15)+(C29*D29*'Travel Time - Calc'!J28*0.65)+(C29*D29*'Travel Time - Calc'!H28*0.2))*(1/3600)*365</f>
        <v>797.24042775000009</v>
      </c>
      <c r="I29" s="347">
        <f>((C29*E29*'Travel Time - Calc'!F28*0.15*'Travel Time - Value'!$B$20)+(C29*E29*'Travel Time - Calc'!J28*0.65*'Travel Time - Value'!$B$20)+(C29*E29*'Travel Time - Calc'!H28*0.2*'Travel Time - Value'!$B$20))*(1/3600)*365</f>
        <v>25113.073474125005</v>
      </c>
      <c r="J29" s="396">
        <f>((C29*F29*0.15*'Emission - Calc (Non-CO2)'!F30)+(C29*F29*0.65*'Emission - Calc (Non-CO2)'!P30)+(C29*F29*0.2*'Emission - Calc (Non-CO2)'!Z30))*(1/1101500)*365</f>
        <v>0.80809762943259211</v>
      </c>
      <c r="K29" s="397">
        <f>((C29*F29*0.15*'Emission - Calc (Non-CO2)'!G30)+(C29*F29*0.65*'Emission - Calc (Non-CO2)'!Q30)+(C29*F29*0.2*'Emission - Calc (Non-CO2)'!AA30))*(1/1101500)*365</f>
        <v>1.702830171693146</v>
      </c>
      <c r="L29" s="397">
        <f>((C29*F29*0.15*'Emission - Calc (Non-CO2)'!H30)+(C29*F29*0.65*'Emission - Calc (Non-CO2)'!R30)+(C29*F29*0.2*'Emission - Calc (Non-CO2)'!AB30))*(1/1000000)*365</f>
        <v>12.777363116580002</v>
      </c>
      <c r="M29" s="397">
        <f>((C29*F29*0.15*'Emission - Calc (Non-CO2)'!I30)+(C29*F29*0.65*'Emission - Calc (Non-CO2)'!S30)+(C29*F29*0.2*'Emission - Calc (Non-CO2)'!AC30))*(1/1101500)*365</f>
        <v>0.15373621459827511</v>
      </c>
      <c r="N29" s="347">
        <f>((C29*F29*0.15*'Emission - Calc (CO2)'!F29)+(C29*F29*0.65*'Emission - Calc (CO2)'!J29)+(C29*F29*0.15*'Emission - Calc (CO2)'!N29))*(1/1101500)*365</f>
        <v>2019.3707377666826</v>
      </c>
      <c r="O29" s="336">
        <f>((C29*F29*1.60934*0.15*'Fuel Savings - Calc'!F30)+(C29*F29*1.60934*0.65*'Fuel Savings - Calc'!J30)+(C29*F29*1.60934*0.2*'Fuel Savings - Calc'!N30))*0.000264172*365</f>
        <v>344590.241835978</v>
      </c>
    </row>
    <row r="30" spans="1:15" x14ac:dyDescent="0.25">
      <c r="A30" s="344">
        <v>42</v>
      </c>
      <c r="B30" s="89" t="s">
        <v>27</v>
      </c>
      <c r="C30" s="89">
        <v>47125</v>
      </c>
      <c r="D30" s="343">
        <v>3.0000000000000001E-3</v>
      </c>
      <c r="E30" s="343">
        <v>5.0999999999999997E-2</v>
      </c>
      <c r="F30" s="345">
        <v>0.1</v>
      </c>
      <c r="G30" s="346">
        <f>((C30*(1-(D30+E30))*'Travel Time - Calc'!F29*0.15*'Travel Time - Value'!$B$19)+(C30*(1-(D30+E30))*'Travel Time - Calc'!J29*0.65*'Travel Time - Value'!$B$19)+(C30*(1-(D30+E30))*'Travel Time - Calc'!H29*0.2*'Travel Time - Value'!$B$19))*(1/3600)*365</f>
        <v>115099.41939527777</v>
      </c>
      <c r="H30" s="342">
        <f>((C30*D30*'Travel Time - Calc'!F29*0.15)+(C30*D30*'Travel Time - Calc'!J29*0.65)+(C30*D30*'Travel Time - Calc'!H29*0.2))*(1/3600)*365</f>
        <v>262.59620833333338</v>
      </c>
      <c r="I30" s="347">
        <f>((C30*E30*'Travel Time - Calc'!F29*0.15*'Travel Time - Value'!$B$20)+(C30*E30*'Travel Time - Calc'!J29*0.65*'Travel Time - Value'!$B$20)+(C30*E30*'Travel Time - Calc'!H29*0.2*'Travel Time - Value'!$B$20))*(1/3600)*365</f>
        <v>4464.1355416666675</v>
      </c>
      <c r="J30" s="396">
        <f>((C30*F30*0.15*'Emission - Calc (Non-CO2)'!F31)+(C30*F30*0.65*'Emission - Calc (Non-CO2)'!P31)+(C30*F30*0.2*'Emission - Calc (Non-CO2)'!Z31))*(1/1101500)*365</f>
        <v>0.20195704323649569</v>
      </c>
      <c r="K30" s="397">
        <f>((C30*F30*0.15*'Emission - Calc (Non-CO2)'!G31)+(C30*F30*0.65*'Emission - Calc (Non-CO2)'!Q31)+(C30*F30*0.2*'Emission - Calc (Non-CO2)'!AA31))*(1/1101500)*365</f>
        <v>0.6078933548002724</v>
      </c>
      <c r="L30" s="397">
        <f>((C30*F30*0.15*'Emission - Calc (Non-CO2)'!H31)+(C30*F30*0.65*'Emission - Calc (Non-CO2)'!R31)+(C30*F30*0.2*'Emission - Calc (Non-CO2)'!AB31))*(1/1000000)*365</f>
        <v>4.5237385740624996</v>
      </c>
      <c r="M30" s="397">
        <f>((C30*F30*0.15*'Emission - Calc (Non-CO2)'!I31)+(C30*F30*0.65*'Emission - Calc (Non-CO2)'!S31)+(C30*F30*0.2*'Emission - Calc (Non-CO2)'!AC31))*(1/1101500)*365</f>
        <v>4.2755616205174755E-2</v>
      </c>
      <c r="N30" s="347">
        <f>((C30*F30*0.15*'Emission - Calc (CO2)'!F30)+(C30*F30*0.65*'Emission - Calc (CO2)'!J30)+(C30*F30*0.15*'Emission - Calc (CO2)'!N30))*(1/1101500)*365</f>
        <v>542.64341239219232</v>
      </c>
      <c r="O30" s="336">
        <f>((C30*F30*1.60934*0.15*'Fuel Savings - Calc'!F31)+(C30*F30*1.60934*0.65*'Fuel Savings - Calc'!J31)+(C30*F30*1.60934*0.2*'Fuel Savings - Calc'!N31))*0.000264172*365</f>
        <v>108263.09844211374</v>
      </c>
    </row>
    <row r="31" spans="1:15" x14ac:dyDescent="0.25">
      <c r="A31" s="344">
        <v>116</v>
      </c>
      <c r="B31" s="89" t="s">
        <v>26</v>
      </c>
      <c r="C31" s="89">
        <v>48682</v>
      </c>
      <c r="D31" s="343">
        <v>2E-3</v>
      </c>
      <c r="E31" s="343">
        <v>4.2000000000000003E-2</v>
      </c>
      <c r="F31" s="345">
        <v>0.5</v>
      </c>
      <c r="G31" s="346">
        <f>((C31*(1-(D31+E31))*'Travel Time - Calc'!F30*0.15*'Travel Time - Value'!$B$19)+(C31*(1-(D31+E31))*'Travel Time - Calc'!J30*0.65*'Travel Time - Value'!$B$19)+(C31*(1-(D31+E31))*'Travel Time - Calc'!H30*0.2*'Travel Time - Value'!$B$19))*(1/3600)*365</f>
        <v>406127.51698863989</v>
      </c>
      <c r="H31" s="342">
        <f>((C31*D31*'Travel Time - Calc'!F30*0.15)+(C31*D31*'Travel Time - Calc'!J30*0.65)+(C31*D31*'Travel Time - Calc'!H30*0.2))*(1/3600)*365</f>
        <v>611.25119200000006</v>
      </c>
      <c r="I31" s="347">
        <f>((C31*E31*'Travel Time - Calc'!F30*0.15*'Travel Time - Value'!$B$20)+(C31*E31*'Travel Time - Calc'!J30*0.65*'Travel Time - Value'!$B$20)+(C31*E31*'Travel Time - Calc'!H30*0.2*'Travel Time - Value'!$B$20))*(1/3600)*365</f>
        <v>12836.275032000001</v>
      </c>
      <c r="J31" s="396">
        <f>((C31*F31*0.15*'Emission - Calc (Non-CO2)'!F32)+(C31*F31*0.65*'Emission - Calc (Non-CO2)'!P32)+(C31*F31*0.2*'Emission - Calc (Non-CO2)'!Z32))*(1/1101500)*365</f>
        <v>0.90611057476168844</v>
      </c>
      <c r="K31" s="397">
        <f>((C31*F31*0.15*'Emission - Calc (Non-CO2)'!G32)+(C31*F31*0.65*'Emission - Calc (Non-CO2)'!Q32)+(C31*F31*0.2*'Emission - Calc (Non-CO2)'!AA32))*(1/1101500)*365</f>
        <v>3.0797596649568768</v>
      </c>
      <c r="L31" s="397">
        <f>((C31*F31*0.15*'Emission - Calc (Non-CO2)'!H32)+(C31*F31*0.65*'Emission - Calc (Non-CO2)'!R32)+(C31*F31*0.2*'Emission - Calc (Non-CO2)'!AB32))*(1/1000000)*365</f>
        <v>21.308412011350001</v>
      </c>
      <c r="M31" s="397">
        <f>((C31*F31*0.15*'Emission - Calc (Non-CO2)'!I32)+(C31*F31*0.65*'Emission - Calc (Non-CO2)'!S32)+(C31*F31*0.2*'Emission - Calc (Non-CO2)'!AC32))*(1/1101500)*365</f>
        <v>0.17619712930095324</v>
      </c>
      <c r="N31" s="347">
        <f>((C31*F31*0.15*'Emission - Calc (CO2)'!F31)+(C31*F31*0.65*'Emission - Calc (CO2)'!J31)+(C31*F31*0.15*'Emission - Calc (CO2)'!N31))*(1/1101500)*365</f>
        <v>2880.4943832274171</v>
      </c>
      <c r="O31" s="336">
        <f>((C31*F31*1.60934*0.15*'Fuel Savings - Calc'!F32)+(C31*F31*1.60934*0.65*'Fuel Savings - Calc'!J32)+(C31*F31*1.60934*0.2*'Fuel Savings - Calc'!N32))*0.000264172*365</f>
        <v>532624.16694206314</v>
      </c>
    </row>
    <row r="32" spans="1:15" x14ac:dyDescent="0.25">
      <c r="A32" s="344">
        <v>116</v>
      </c>
      <c r="B32" s="89" t="s">
        <v>27</v>
      </c>
      <c r="C32" s="89">
        <v>1534</v>
      </c>
      <c r="D32" s="343">
        <v>2E-3</v>
      </c>
      <c r="E32" s="343">
        <v>4.2000000000000003E-2</v>
      </c>
      <c r="F32" s="345">
        <v>0.4</v>
      </c>
      <c r="G32" s="346">
        <f>((C32*(1-(D32+E32))*'Travel Time - Calc'!F31*0.15*'Travel Time - Value'!$B$19)+(C32*(1-(D32+E32))*'Travel Time - Calc'!J31*0.65*'Travel Time - Value'!$B$19)+(C32*(1-(D32+E32))*'Travel Time - Calc'!H31*0.2*'Travel Time - Value'!$B$19))*(1/3600)*365</f>
        <v>5852.0089518294435</v>
      </c>
      <c r="H32" s="342">
        <f>((C32*D32*'Travel Time - Calc'!F31*0.15)+(C32*D32*'Travel Time - Calc'!J31*0.65)+(C32*D32*'Travel Time - Calc'!H31*0.2))*(1/3600)*365</f>
        <v>8.8076953611111115</v>
      </c>
      <c r="I32" s="347">
        <f>((C32*E32*'Travel Time - Calc'!F31*0.15*'Travel Time - Value'!$B$20)+(C32*E32*'Travel Time - Calc'!J31*0.65*'Travel Time - Value'!$B$20)+(C32*E32*'Travel Time - Calc'!H31*0.2*'Travel Time - Value'!$B$20))*(1/3600)*365</f>
        <v>184.96160258333333</v>
      </c>
      <c r="J32" s="396">
        <f>((C32*F32*0.15*'Emission - Calc (Non-CO2)'!F33)+(C32*F32*0.65*'Emission - Calc (Non-CO2)'!P33)+(C32*F32*0.2*'Emission - Calc (Non-CO2)'!Z33))*(1/1101500)*365</f>
        <v>1.6164446663640492E-2</v>
      </c>
      <c r="K32" s="397">
        <f>((C32*F32*0.15*'Emission - Calc (Non-CO2)'!G33)+(C32*F32*0.65*'Emission - Calc (Non-CO2)'!Q33)+(C32*F32*0.2*'Emission - Calc (Non-CO2)'!AA33))*(1/1101500)*365</f>
        <v>6.990360708125283E-2</v>
      </c>
      <c r="L32" s="397">
        <f>((C32*F32*0.15*'Emission - Calc (Non-CO2)'!H33)+(C32*F32*0.65*'Emission - Calc (Non-CO2)'!R33)+(C32*F32*0.2*'Emission - Calc (Non-CO2)'!AB33))*(1/1000000)*365</f>
        <v>0.45885744320000005</v>
      </c>
      <c r="M32" s="397">
        <f>((C32*F32*0.15*'Emission - Calc (Non-CO2)'!I33)+(C32*F32*0.65*'Emission - Calc (Non-CO2)'!S33)+(C32*F32*0.2*'Emission - Calc (Non-CO2)'!AC33))*(1/1101500)*365</f>
        <v>3.0905608715388103E-3</v>
      </c>
      <c r="N32" s="347">
        <f>((C32*F32*0.15*'Emission - Calc (CO2)'!F32)+(C32*F32*0.65*'Emission - Calc (CO2)'!J32)+(C32*F32*0.15*'Emission - Calc (CO2)'!N32))*(1/1101500)*365</f>
        <v>62.777017703132103</v>
      </c>
      <c r="O32" s="336">
        <f>((C32*F32*1.60934*0.15*'Fuel Savings - Calc'!F33)+(C32*F32*1.60934*0.65*'Fuel Savings - Calc'!J33)+(C32*F32*1.60934*0.2*'Fuel Savings - Calc'!N33))*0.000264172*365</f>
        <v>11323.870756363021</v>
      </c>
    </row>
    <row r="33" spans="1:15" x14ac:dyDescent="0.25">
      <c r="A33" s="344">
        <v>275</v>
      </c>
      <c r="B33" s="89" t="s">
        <v>26</v>
      </c>
      <c r="C33" s="89">
        <v>36956</v>
      </c>
      <c r="D33" s="343">
        <v>1E-3</v>
      </c>
      <c r="E33" s="343">
        <v>6.2E-2</v>
      </c>
      <c r="F33" s="345">
        <v>0.2</v>
      </c>
      <c r="G33" s="346">
        <f>((C33*(1-(D33+E33))*'Travel Time - Calc'!F32*0.15*'Travel Time - Value'!$B$19)+(C33*(1-(D33+E33))*'Travel Time - Calc'!J32*0.65*'Travel Time - Value'!$B$19)+(C33*(1-(D33+E33))*'Travel Time - Calc'!H32*0.2*'Travel Time - Value'!$B$19))*(1/3600)*365</f>
        <v>130372.16925500086</v>
      </c>
      <c r="H33" s="342">
        <f>((C33*D33*'Travel Time - Calc'!F32*0.15)+(C33*D33*'Travel Time - Calc'!J32*0.65)+(C33*D33*'Travel Time - Calc'!H32*0.2))*(1/3600)*365</f>
        <v>100.09917558333335</v>
      </c>
      <c r="I33" s="347">
        <f>((C33*E33*'Travel Time - Calc'!F32*0.15*'Travel Time - Value'!$B$20)+(C33*E33*'Travel Time - Calc'!J32*0.65*'Travel Time - Value'!$B$20)+(C33*E33*'Travel Time - Calc'!H32*0.2*'Travel Time - Value'!$B$20))*(1/3600)*365</f>
        <v>6206.1488861666658</v>
      </c>
      <c r="J33" s="396">
        <f>((C33*F33*0.15*'Emission - Calc (Non-CO2)'!F34)+(C33*F33*0.65*'Emission - Calc (Non-CO2)'!P34)+(C33*F33*0.2*'Emission - Calc (Non-CO2)'!Z34))*(1/1101500)*365</f>
        <v>0.36953450153427148</v>
      </c>
      <c r="K33" s="397">
        <f>((C33*F33*0.15*'Emission - Calc (Non-CO2)'!G34)+(C33*F33*0.65*'Emission - Calc (Non-CO2)'!Q34)+(C33*F33*0.2*'Emission - Calc (Non-CO2)'!AA34))*(1/1101500)*365</f>
        <v>1.0225388016341355</v>
      </c>
      <c r="L33" s="397">
        <f>((C33*F33*0.15*'Emission - Calc (Non-CO2)'!H34)+(C33*F33*0.65*'Emission - Calc (Non-CO2)'!R34)+(C33*F33*0.2*'Emission - Calc (Non-CO2)'!AB34))*(1/1000000)*365</f>
        <v>7.7093069003200005</v>
      </c>
      <c r="M33" s="397">
        <f>((C33*F33*0.15*'Emission - Calc (Non-CO2)'!I34)+(C33*F33*0.65*'Emission - Calc (Non-CO2)'!S34)+(C33*F33*0.2*'Emission - Calc (Non-CO2)'!AC34))*(1/1101500)*365</f>
        <v>7.5827068978665466E-2</v>
      </c>
      <c r="N33" s="347">
        <f>((C33*F33*0.15*'Emission - Calc (CO2)'!F33)+(C33*F33*0.65*'Emission - Calc (CO2)'!J33)+(C33*F33*0.15*'Emission - Calc (CO2)'!N33))*(1/1101500)*365</f>
        <v>957.48206650022723</v>
      </c>
      <c r="O33" s="336">
        <f>((C33*F33*1.60934*0.15*'Fuel Savings - Calc'!F34)+(C33*F33*1.60934*0.65*'Fuel Savings - Calc'!J34)+(C33*F33*1.60934*0.2*'Fuel Savings - Calc'!N34))*0.000264172*365</f>
        <v>188302.08209018028</v>
      </c>
    </row>
    <row r="34" spans="1:15" x14ac:dyDescent="0.25">
      <c r="A34" s="344">
        <v>275</v>
      </c>
      <c r="B34" s="89" t="s">
        <v>27</v>
      </c>
      <c r="C34" s="89">
        <v>39336</v>
      </c>
      <c r="D34" s="343">
        <v>2E-3</v>
      </c>
      <c r="E34" s="343">
        <v>4.9000000000000002E-2</v>
      </c>
      <c r="F34" s="345">
        <v>0.1</v>
      </c>
      <c r="G34" s="346">
        <f>((C34*(1-(D34+E34))*'Travel Time - Calc'!F33*0.15*'Travel Time - Value'!$B$19)+(C34*(1-(D34+E34))*'Travel Time - Calc'!J33*0.65*'Travel Time - Value'!$B$19)+(C34*(1-(D34+E34))*'Travel Time - Calc'!H33*0.2*'Travel Time - Value'!$B$19))*(1/3600)*365</f>
        <v>98510.698394441672</v>
      </c>
      <c r="H34" s="342">
        <f>((C34*D34*'Travel Time - Calc'!F33*0.15)+(C34*D34*'Travel Time - Calc'!J33*0.65)+(C34*D34*'Travel Time - Calc'!H33*0.2))*(1/3600)*365</f>
        <v>149.35933833333337</v>
      </c>
      <c r="I34" s="347">
        <f>((C34*E34*'Travel Time - Calc'!F33*0.15*'Travel Time - Value'!$B$20)+(C34*E34*'Travel Time - Calc'!J33*0.65*'Travel Time - Value'!$B$20)+(C34*E34*'Travel Time - Calc'!H33*0.2*'Travel Time - Value'!$B$20))*(1/3600)*365</f>
        <v>3659.3037891666681</v>
      </c>
      <c r="J34" s="396">
        <f>((C34*F34*0.15*'Emission - Calc (Non-CO2)'!F35)+(C34*F34*0.65*'Emission - Calc (Non-CO2)'!P35)+(C34*F34*0.2*'Emission - Calc (Non-CO2)'!Z35))*(1/1101500)*365</f>
        <v>0.16197607737085792</v>
      </c>
      <c r="K34" s="397">
        <f>((C34*F34*0.15*'Emission - Calc (Non-CO2)'!G35)+(C34*F34*0.65*'Emission - Calc (Non-CO2)'!Q35)+(C34*F34*0.2*'Emission - Calc (Non-CO2)'!AA35))*(1/1101500)*365</f>
        <v>0.4977793136268725</v>
      </c>
      <c r="L34" s="397">
        <f>((C34*F34*0.15*'Emission - Calc (Non-CO2)'!H35)+(C34*F34*0.65*'Emission - Calc (Non-CO2)'!R35)+(C34*F34*0.2*'Emission - Calc (Non-CO2)'!AB35))*(1/1000000)*365</f>
        <v>3.7293682747200001</v>
      </c>
      <c r="M34" s="397">
        <f>((C34*F34*0.15*'Emission - Calc (Non-CO2)'!I35)+(C34*F34*0.65*'Emission - Calc (Non-CO2)'!S35)+(C34*F34*0.2*'Emission - Calc (Non-CO2)'!AC35))*(1/1101500)*365</f>
        <v>3.4157236150703589E-2</v>
      </c>
      <c r="N34" s="347">
        <f>((C34*F34*0.15*'Emission - Calc (CO2)'!F34)+(C34*F34*0.65*'Emission - Calc (CO2)'!J34)+(C34*F34*0.15*'Emission - Calc (CO2)'!N34))*(1/1101500)*365</f>
        <v>442.19967044938721</v>
      </c>
      <c r="O34" s="336">
        <f>((C34*F34*1.60934*0.15*'Fuel Savings - Calc'!F35)+(C34*F34*1.60934*0.65*'Fuel Savings - Calc'!J35)+(C34*F34*1.60934*0.2*'Fuel Savings - Calc'!N35))*0.000264172*365</f>
        <v>88450.766083951879</v>
      </c>
    </row>
    <row r="35" spans="1:15" x14ac:dyDescent="0.25">
      <c r="A35" s="344">
        <v>277</v>
      </c>
      <c r="B35" s="89" t="s">
        <v>26</v>
      </c>
      <c r="C35" s="89">
        <v>42416</v>
      </c>
      <c r="D35" s="343">
        <v>1E-3</v>
      </c>
      <c r="E35" s="343">
        <v>5.8000000000000003E-2</v>
      </c>
      <c r="F35" s="345">
        <v>0.1</v>
      </c>
      <c r="G35" s="346">
        <f>((C35*(1-(D35+E35))*'Travel Time - Calc'!F34*0.15*'Travel Time - Value'!$B$19)+(C35*(1-(D35+E35))*'Travel Time - Calc'!J34*0.65*'Travel Time - Value'!$B$19)+(C35*(1-(D35+E35))*'Travel Time - Calc'!H34*0.2*'Travel Time - Value'!$B$19))*(1/3600)*365</f>
        <v>139219.38182350001</v>
      </c>
      <c r="H35" s="342">
        <f>((C35*D35*'Travel Time - Calc'!F34*0.15)+(C35*D35*'Travel Time - Calc'!J34*0.65)+(C35*D35*'Travel Time - Calc'!H34*0.2))*(1/3600)*365</f>
        <v>106.43765000000002</v>
      </c>
      <c r="I35" s="347">
        <f>((C35*E35*'Travel Time - Calc'!F34*0.15*'Travel Time - Value'!$B$20)+(C35*E35*'Travel Time - Calc'!J34*0.65*'Travel Time - Value'!$B$20)+(C35*E35*'Travel Time - Calc'!H34*0.2*'Travel Time - Value'!$B$20))*(1/3600)*365</f>
        <v>6173.3837000000003</v>
      </c>
      <c r="J35" s="396">
        <f>((C35*F35*0.15*'Emission - Calc (Non-CO2)'!F36)+(C35*F35*0.65*'Emission - Calc (Non-CO2)'!P36)+(C35*F35*0.2*'Emission - Calc (Non-CO2)'!Z36))*(1/1101500)*365</f>
        <v>0.21842536043576943</v>
      </c>
      <c r="K35" s="397">
        <f>((C35*F35*0.15*'Emission - Calc (Non-CO2)'!G36)+(C35*F35*0.65*'Emission - Calc (Non-CO2)'!Q36)+(C35*F35*0.2*'Emission - Calc (Non-CO2)'!AA36))*(1/1101500)*365</f>
        <v>0.59852807495233773</v>
      </c>
      <c r="L35" s="397">
        <f>((C35*F35*0.15*'Emission - Calc (Non-CO2)'!H36)+(C35*F35*0.65*'Emission - Calc (Non-CO2)'!R36)+(C35*F35*0.2*'Emission - Calc (Non-CO2)'!AB36))*(1/1000000)*365</f>
        <v>4.5538748631199999</v>
      </c>
      <c r="M35" s="397">
        <f>((C35*F35*0.15*'Emission - Calc (Non-CO2)'!I36)+(C35*F35*0.65*'Emission - Calc (Non-CO2)'!S36)+(C35*F35*0.2*'Emission - Calc (Non-CO2)'!AC36))*(1/1101500)*365</f>
        <v>4.5553012655469814E-2</v>
      </c>
      <c r="N35" s="347">
        <f>((C35*F35*0.15*'Emission - Calc (CO2)'!F35)+(C35*F35*0.65*'Emission - Calc (CO2)'!J35)+(C35*F35*0.15*'Emission - Calc (CO2)'!N35))*(1/1101500)*365</f>
        <v>555.1817339990921</v>
      </c>
      <c r="O35" s="336">
        <f>((C35*F35*1.60934*0.15*'Fuel Savings - Calc'!F36)+(C35*F35*1.60934*0.65*'Fuel Savings - Calc'!J36)+(C35*F35*1.60934*0.2*'Fuel Savings - Calc'!N36))*0.000264172*365</f>
        <v>109327.60017403337</v>
      </c>
    </row>
    <row r="36" spans="1:15" x14ac:dyDescent="0.25">
      <c r="A36" s="344">
        <v>277</v>
      </c>
      <c r="B36" s="89" t="s">
        <v>27</v>
      </c>
      <c r="C36" s="89">
        <v>43514</v>
      </c>
      <c r="D36" s="343">
        <v>1E-3</v>
      </c>
      <c r="E36" s="343">
        <v>4.9500000000000002E-2</v>
      </c>
      <c r="F36" s="345">
        <v>0.2</v>
      </c>
      <c r="G36" s="346">
        <f>((C36*(1-(D36+E36))*'Travel Time - Calc'!F35*0.15*'Travel Time - Value'!$B$19)+(C36*(1-(D36+E36))*'Travel Time - Calc'!J35*0.65*'Travel Time - Value'!$B$19)+(C36*(1-(D36+E36))*'Travel Time - Calc'!H35*0.2*'Travel Time - Value'!$B$19))*(1/3600)*365</f>
        <v>181611.98915551373</v>
      </c>
      <c r="H36" s="342">
        <f>((C36*D36*'Travel Time - Calc'!F35*0.15)+(C36*D36*'Travel Time - Calc'!J35*0.65)+(C36*D36*'Travel Time - Calc'!H35*0.2))*(1/3600)*365</f>
        <v>137.60516830555559</v>
      </c>
      <c r="I36" s="347">
        <f>((C36*E36*'Travel Time - Calc'!F35*0.15*'Travel Time - Value'!$B$20)+(C36*E36*'Travel Time - Calc'!J35*0.65*'Travel Time - Value'!$B$20)+(C36*E36*'Travel Time - Calc'!H35*0.2*'Travel Time - Value'!$B$20))*(1/3600)*365</f>
        <v>6811.4558311250012</v>
      </c>
      <c r="J36" s="396">
        <f>((C36*F36*0.15*'Emission - Calc (Non-CO2)'!F37)+(C36*F36*0.65*'Emission - Calc (Non-CO2)'!P37)+(C36*F36*0.2*'Emission - Calc (Non-CO2)'!Z37))*(1/1101500)*365</f>
        <v>0.49739893445211075</v>
      </c>
      <c r="K36" s="397">
        <f>((C36*F36*0.15*'Emission - Calc (Non-CO2)'!G37)+(C36*F36*0.65*'Emission - Calc (Non-CO2)'!Q37)+(C36*F36*0.2*'Emission - Calc (Non-CO2)'!AA37))*(1/1101500)*365</f>
        <v>1.2899303591466182</v>
      </c>
      <c r="L36" s="397">
        <f>((C36*F36*0.15*'Emission - Calc (Non-CO2)'!H37)+(C36*F36*0.65*'Emission - Calc (Non-CO2)'!R37)+(C36*F36*0.2*'Emission - Calc (Non-CO2)'!AB37))*(1/1000000)*365</f>
        <v>9.5326472263399999</v>
      </c>
      <c r="M36" s="397">
        <f>((C36*F36*0.15*'Emission - Calc (Non-CO2)'!I37)+(C36*F36*0.65*'Emission - Calc (Non-CO2)'!S37)+(C36*F36*0.2*'Emission - Calc (Non-CO2)'!AC37))*(1/1101500)*365</f>
        <v>0.10091909885610532</v>
      </c>
      <c r="N36" s="347">
        <f>((C36*F36*0.15*'Emission - Calc (CO2)'!F36)+(C36*F36*0.65*'Emission - Calc (CO2)'!J36)+(C36*F36*0.15*'Emission - Calc (CO2)'!N36))*(1/1101500)*365</f>
        <v>1207.2369698138905</v>
      </c>
      <c r="O36" s="336">
        <f>((C36*F36*1.60934*0.15*'Fuel Savings - Calc'!F37)+(C36*F36*1.60934*0.65*'Fuel Savings - Calc'!J37)+(C36*F36*1.60934*0.2*'Fuel Savings - Calc'!N37))*0.000264172*365</f>
        <v>240010.11196271749</v>
      </c>
    </row>
    <row r="37" spans="1:15" x14ac:dyDescent="0.25">
      <c r="A37" s="344">
        <v>377</v>
      </c>
      <c r="B37" s="89" t="s">
        <v>26</v>
      </c>
      <c r="C37" s="89">
        <v>37776</v>
      </c>
      <c r="D37" s="343">
        <v>6.0000000000000001E-3</v>
      </c>
      <c r="E37" s="343">
        <v>4.3999999999999997E-2</v>
      </c>
      <c r="F37" s="345">
        <v>0.2</v>
      </c>
      <c r="G37" s="346">
        <f>((C37*(1-(D37+E37))*'Travel Time - Calc'!F36*0.15*'Travel Time - Value'!$B$19)+(C37*(1-(D37+E37))*'Travel Time - Calc'!J36*0.65*'Travel Time - Value'!$B$19)+(C37*(1-(D37+E37))*'Travel Time - Calc'!H36*0.2*'Travel Time - Value'!$B$19))*(1/3600)*365</f>
        <v>153928.14831949997</v>
      </c>
      <c r="H37" s="342">
        <f>((C37*D37*'Travel Time - Calc'!F36*0.15)+(C37*D37*'Travel Time - Calc'!J36*0.65)+(C37*D37*'Travel Time - Calc'!H36*0.2))*(1/3600)*365</f>
        <v>699.40847400000007</v>
      </c>
      <c r="I37" s="347">
        <f>((C37*E37*'Travel Time - Calc'!F36*0.15*'Travel Time - Value'!$B$20)+(C37*E37*'Travel Time - Calc'!J36*0.65*'Travel Time - Value'!$B$20)+(C37*E37*'Travel Time - Calc'!H36*0.2*'Travel Time - Value'!$B$20))*(1/3600)*365</f>
        <v>5128.9954760000001</v>
      </c>
      <c r="J37" s="396">
        <f>((C37*F37*0.15*'Emission - Calc (Non-CO2)'!F38)+(C37*F37*0.65*'Emission - Calc (Non-CO2)'!P38)+(C37*F37*0.2*'Emission - Calc (Non-CO2)'!Z38))*(1/1101500)*365</f>
        <v>0.44507912976849756</v>
      </c>
      <c r="K37" s="397">
        <f>((C37*F37*0.15*'Emission - Calc (Non-CO2)'!G38)+(C37*F37*0.65*'Emission - Calc (Non-CO2)'!Q38)+(C37*F37*0.2*'Emission - Calc (Non-CO2)'!AA38))*(1/1101500)*365</f>
        <v>1.1351295321652293</v>
      </c>
      <c r="L37" s="397">
        <f>((C37*F37*0.15*'Emission - Calc (Non-CO2)'!H38)+(C37*F37*0.65*'Emission - Calc (Non-CO2)'!R38)+(C37*F37*0.2*'Emission - Calc (Non-CO2)'!AB38))*(1/1000000)*365</f>
        <v>8.4105644234400021</v>
      </c>
      <c r="M37" s="397">
        <f>((C37*F37*0.15*'Emission - Calc (Non-CO2)'!I38)+(C37*F37*0.65*'Emission - Calc (Non-CO2)'!S38)+(C37*F37*0.2*'Emission - Calc (Non-CO2)'!AC38))*(1/1101500)*365</f>
        <v>8.8788003921924652E-2</v>
      </c>
      <c r="N37" s="347">
        <f>((C37*F37*0.15*'Emission - Calc (CO2)'!F37)+(C37*F37*0.65*'Emission - Calc (CO2)'!J37)+(C37*F37*0.15*'Emission - Calc (CO2)'!N37))*(1/1101500)*365</f>
        <v>1078.0864003631409</v>
      </c>
      <c r="O37" s="336">
        <f>((C37*F37*1.60934*0.15*'Fuel Savings - Calc'!F38)+(C37*F37*1.60934*0.65*'Fuel Savings - Calc'!J38)+(C37*F37*1.60934*0.2*'Fuel Savings - Calc'!N38))*0.000264172*365</f>
        <v>212769.76831548108</v>
      </c>
    </row>
    <row r="38" spans="1:15" x14ac:dyDescent="0.25">
      <c r="A38" s="344">
        <v>377</v>
      </c>
      <c r="B38" s="89" t="s">
        <v>27</v>
      </c>
      <c r="C38" s="89">
        <v>38158</v>
      </c>
      <c r="D38" s="343">
        <v>5.0000000000000001E-3</v>
      </c>
      <c r="E38" s="343">
        <v>4.5999999999999999E-2</v>
      </c>
      <c r="F38" s="345">
        <v>0.2</v>
      </c>
      <c r="G38" s="346">
        <f>((C38*(1-(D38+E38))*'Travel Time - Calc'!F37*0.15*'Travel Time - Value'!$B$19)+(C38*(1-(D38+E38))*'Travel Time - Calc'!J37*0.65*'Travel Time - Value'!$B$19)+(C38*(1-(D38+E38))*'Travel Time - Calc'!H37*0.2*'Travel Time - Value'!$B$19))*(1/3600)*365</f>
        <v>369841.15895278851</v>
      </c>
      <c r="H38" s="342">
        <f>((C38*D38*'Travel Time - Calc'!F37*0.15)+(C38*D38*'Travel Time - Calc'!J37*0.65)+(C38*D38*'Travel Time - Calc'!H37*0.2))*(1/3600)*365</f>
        <v>1401.8586734722223</v>
      </c>
      <c r="I38" s="347">
        <f>((C38*E38*'Travel Time - Calc'!F37*0.15*'Travel Time - Value'!$B$20)+(C38*E38*'Travel Time - Calc'!J37*0.65*'Travel Time - Value'!$B$20)+(C38*E38*'Travel Time - Calc'!H37*0.2*'Travel Time - Value'!$B$20))*(1/3600)*365</f>
        <v>12897.099795944447</v>
      </c>
      <c r="J38" s="396">
        <f>((C38*F38*0.15*'Emission - Calc (Non-CO2)'!F39)+(C38*F38*0.65*'Emission - Calc (Non-CO2)'!P39)+(C38*F38*0.2*'Emission - Calc (Non-CO2)'!Z39))*(1/1101500)*365</f>
        <v>0.62412399158783483</v>
      </c>
      <c r="K38" s="397">
        <f>((C38*F38*0.15*'Emission - Calc (Non-CO2)'!G39)+(C38*F38*0.65*'Emission - Calc (Non-CO2)'!Q39)+(C38*F38*0.2*'Emission - Calc (Non-CO2)'!AA39))*(1/1101500)*365</f>
        <v>1.4046020423241035</v>
      </c>
      <c r="L38" s="397">
        <f>((C38*F38*0.15*'Emission - Calc (Non-CO2)'!H39)+(C38*F38*0.65*'Emission - Calc (Non-CO2)'!R39)+(C38*F38*0.2*'Emission - Calc (Non-CO2)'!AB39))*(1/1000000)*365</f>
        <v>9.6827557399240014</v>
      </c>
      <c r="M38" s="397">
        <f>((C38*F38*0.15*'Emission - Calc (Non-CO2)'!I39)+(C38*F38*0.65*'Emission - Calc (Non-CO2)'!S39)+(C38*F38*0.2*'Emission - Calc (Non-CO2)'!AC39))*(1/1101500)*365</f>
        <v>0.11612503066727191</v>
      </c>
      <c r="N38" s="347">
        <f>((C38*F38*0.15*'Emission - Calc (CO2)'!F38)+(C38*F38*0.65*'Emission - Calc (CO2)'!J38)+(C38*F38*0.15*'Emission - Calc (CO2)'!N38))*(1/1101500)*365</f>
        <v>1158.3105125056738</v>
      </c>
      <c r="O38" s="336">
        <f>((C38*F38*1.60934*0.15*'Fuel Savings - Calc'!F39)+(C38*F38*1.60934*0.65*'Fuel Savings - Calc'!J39)+(C38*F38*1.60934*0.2*'Fuel Savings - Calc'!N39))*0.000264172*365</f>
        <v>280839.10772609327</v>
      </c>
    </row>
    <row r="39" spans="1:15" x14ac:dyDescent="0.25">
      <c r="A39" s="344">
        <v>457</v>
      </c>
      <c r="B39" s="89" t="s">
        <v>26</v>
      </c>
      <c r="C39" s="89">
        <v>46261</v>
      </c>
      <c r="D39" s="343">
        <v>2E-3</v>
      </c>
      <c r="E39" s="343">
        <v>4.2000000000000003E-2</v>
      </c>
      <c r="F39" s="345">
        <v>0.01</v>
      </c>
      <c r="G39" s="346">
        <f>((C39*(1-(D39+E39))*'Travel Time - Calc'!F38*0.15*'Travel Time - Value'!$B$19)+(C39*(1-(D39+E39))*'Travel Time - Calc'!J38*0.65*'Travel Time - Value'!$B$19)+(C39*(1-(D39+E39))*'Travel Time - Calc'!H38*0.2*'Travel Time - Value'!$B$19))*(1/3600)*365</f>
        <v>234007.71792969914</v>
      </c>
      <c r="H39" s="342">
        <f>((C39*D39*'Travel Time - Calc'!F38*0.15)+(C39*D39*'Travel Time - Calc'!J38*0.65)+(C39*D39*'Travel Time - Calc'!H38*0.2))*(1/3600)*365</f>
        <v>352.1984857916666</v>
      </c>
      <c r="I39" s="347">
        <f>((C39*E39*'Travel Time - Calc'!F38*0.15*'Travel Time - Value'!$B$20)+(C39*E39*'Travel Time - Calc'!J38*0.65*'Travel Time - Value'!$B$20)+(C39*E39*'Travel Time - Calc'!H38*0.2*'Travel Time - Value'!$B$20))*(1/3600)*365</f>
        <v>7396.1682016250015</v>
      </c>
      <c r="J39" s="396">
        <f>((C39*F39*0.15*'Emission - Calc (Non-CO2)'!F40)+(C39*F39*0.65*'Emission - Calc (Non-CO2)'!P40)+(C39*F39*0.2*'Emission - Calc (Non-CO2)'!Z40))*(1/1101500)*365</f>
        <v>9.6122609334997736E-2</v>
      </c>
      <c r="K39" s="397">
        <f>((C39*F39*0.15*'Emission - Calc (Non-CO2)'!G40)+(C39*F39*0.65*'Emission - Calc (Non-CO2)'!Q40)+(C39*F39*0.2*'Emission - Calc (Non-CO2)'!AA40))*(1/1101500)*365</f>
        <v>0.16602936930878351</v>
      </c>
      <c r="L39" s="397">
        <f>((C39*F39*0.15*'Emission - Calc (Non-CO2)'!H40)+(C39*F39*0.65*'Emission - Calc (Non-CO2)'!R40)+(C39*F39*0.2*'Emission - Calc (Non-CO2)'!AB40))*(1/1000000)*365</f>
        <v>1.109618988659625</v>
      </c>
      <c r="M39" s="397">
        <f>((C39*F39*0.15*'Emission - Calc (Non-CO2)'!I40)+(C39*F39*0.65*'Emission - Calc (Non-CO2)'!S40)+(C39*F39*0.2*'Emission - Calc (Non-CO2)'!AC40))*(1/1101500)*365</f>
        <v>1.7191085278483887E-2</v>
      </c>
      <c r="N39" s="347">
        <f>((C39*F39*0.15*'Emission - Calc (CO2)'!F39)+(C39*F39*0.65*'Emission - Calc (CO2)'!J39)+(C39*F39*0.15*'Emission - Calc (CO2)'!N39))*(1/1101500)*365</f>
        <v>163.05943795770918</v>
      </c>
      <c r="O39" s="336">
        <f>((C39*F39*1.60934*0.15*'Fuel Savings - Calc'!F40)+(C39*F39*1.60934*0.65*'Fuel Savings - Calc'!J40)+(C39*F39*1.60934*0.2*'Fuel Savings - Calc'!N40))*0.000264172*365</f>
        <v>33933.897470875258</v>
      </c>
    </row>
    <row r="40" spans="1:15" x14ac:dyDescent="0.25">
      <c r="A40" s="344">
        <v>457</v>
      </c>
      <c r="B40" s="89" t="s">
        <v>27</v>
      </c>
      <c r="C40" s="89">
        <v>5002</v>
      </c>
      <c r="D40" s="343">
        <v>2E-3</v>
      </c>
      <c r="E40" s="343">
        <v>4.2000000000000003E-2</v>
      </c>
      <c r="F40" s="345">
        <v>0.1</v>
      </c>
      <c r="G40" s="346">
        <f>((C40*(1-(D40+E40))*'Travel Time - Calc'!F39*0.15*'Travel Time - Value'!$B$19)+(C40*(1-(D40+E40))*'Travel Time - Calc'!J39*0.65*'Travel Time - Value'!$B$19)+(C40*(1-(D40+E40))*'Travel Time - Calc'!H39*0.2*'Travel Time - Value'!$B$19))*(1/3600)*365</f>
        <v>9060.8209861872201</v>
      </c>
      <c r="H40" s="342">
        <f>((C40*D40*'Travel Time - Calc'!F39*0.15)+(C40*D40*'Travel Time - Calc'!J39*0.65)+(C40*D40*'Travel Time - Calc'!H39*0.2))*(1/3600)*365</f>
        <v>13.637188805555555</v>
      </c>
      <c r="I40" s="347">
        <f>((C40*E40*'Travel Time - Calc'!F39*0.15*'Travel Time - Value'!$B$20)+(C40*E40*'Travel Time - Calc'!J39*0.65*'Travel Time - Value'!$B$20)+(C40*E40*'Travel Time - Calc'!H39*0.2*'Travel Time - Value'!$B$20))*(1/3600)*365</f>
        <v>286.3809649166667</v>
      </c>
      <c r="J40" s="396">
        <f>((C40*F40*0.15*'Emission - Calc (Non-CO2)'!F41)+(C40*F40*0.65*'Emission - Calc (Non-CO2)'!P41)+(C40*F40*0.2*'Emission - Calc (Non-CO2)'!Z41))*(1/1101500)*365</f>
        <v>2.058939451656832E-2</v>
      </c>
      <c r="K40" s="397">
        <f>((C40*F40*0.15*'Emission - Calc (Non-CO2)'!G41)+(C40*F40*0.65*'Emission - Calc (Non-CO2)'!Q41)+(C40*F40*0.2*'Emission - Calc (Non-CO2)'!AA41))*(1/1101500)*365</f>
        <v>6.3160478783477095E-2</v>
      </c>
      <c r="L40" s="397">
        <f>((C40*F40*0.15*'Emission - Calc (Non-CO2)'!H41)+(C40*F40*0.65*'Emission - Calc (Non-CO2)'!R41)+(C40*F40*0.2*'Emission - Calc (Non-CO2)'!AB41))*(1/1000000)*365</f>
        <v>0.47700756423500001</v>
      </c>
      <c r="M40" s="397">
        <f>((C40*F40*0.15*'Emission - Calc (Non-CO2)'!I41)+(C40*F40*0.65*'Emission - Calc (Non-CO2)'!S41)+(C40*F40*0.2*'Emission - Calc (Non-CO2)'!AC41))*(1/1101500)*365</f>
        <v>4.2688766364049032E-3</v>
      </c>
      <c r="N40" s="347">
        <f>((C40*F40*0.15*'Emission - Calc (CO2)'!F40)+(C40*F40*0.65*'Emission - Calc (CO2)'!J40)+(C40*F40*0.15*'Emission - Calc (CO2)'!N40))*(1/1101500)*365</f>
        <v>56.957720642305837</v>
      </c>
      <c r="O40" s="336">
        <f>((C40*F40*1.60934*0.15*'Fuel Savings - Calc'!F41)+(C40*F40*1.60934*0.65*'Fuel Savings - Calc'!J41)+(C40*F40*1.60934*0.2*'Fuel Savings - Calc'!N41))*0.000264172*365</f>
        <v>11270.64856832751</v>
      </c>
    </row>
    <row r="41" spans="1:15" x14ac:dyDescent="0.25">
      <c r="A41" s="344">
        <v>458</v>
      </c>
      <c r="B41" s="89" t="s">
        <v>26</v>
      </c>
      <c r="C41" s="89">
        <v>7889</v>
      </c>
      <c r="D41" s="343">
        <v>3.0000000000000001E-3</v>
      </c>
      <c r="E41" s="343">
        <v>4.8000000000000001E-2</v>
      </c>
      <c r="F41" s="345">
        <v>0.1</v>
      </c>
      <c r="G41" s="346">
        <f>((C41*(1-(D41+E41))*'Travel Time - Calc'!F40*0.15*'Travel Time - Value'!$B$19)+(C41*(1-(D41+E41))*'Travel Time - Calc'!J40*0.65*'Travel Time - Value'!$B$19)+(C41*(1-(D41+E41))*'Travel Time - Calc'!H40*0.2*'Travel Time - Value'!$B$19))*(1/3600)*365</f>
        <v>19925.550166927711</v>
      </c>
      <c r="H41" s="342">
        <f>((C41*D41*'Travel Time - Calc'!F40*0.15)+(C41*D41*'Travel Time - Calc'!J40*0.65)+(C41*D41*'Travel Time - Calc'!H40*0.2))*(1/3600)*365</f>
        <v>45.315895187500011</v>
      </c>
      <c r="I41" s="347">
        <f>((C41*E41*'Travel Time - Calc'!F40*0.15*'Travel Time - Value'!$B$20)+(C41*E41*'Travel Time - Calc'!J40*0.65*'Travel Time - Value'!$B$20)+(C41*E41*'Travel Time - Calc'!H40*0.2*'Travel Time - Value'!$B$20))*(1/3600)*365</f>
        <v>725.05432300000018</v>
      </c>
      <c r="J41" s="396">
        <f>((C41*F41*0.15*'Emission - Calc (Non-CO2)'!F42)+(C41*F41*0.65*'Emission - Calc (Non-CO2)'!P42)+(C41*F41*0.2*'Emission - Calc (Non-CO2)'!Z42))*(1/1101500)*365</f>
        <v>3.1632770032682708E-2</v>
      </c>
      <c r="K41" s="397">
        <f>((C41*F41*0.15*'Emission - Calc (Non-CO2)'!G42)+(C41*F41*0.65*'Emission - Calc (Non-CO2)'!Q42)+(C41*F41*0.2*'Emission - Calc (Non-CO2)'!AA42))*(1/1101500)*365</f>
        <v>9.8722025676350453E-2</v>
      </c>
      <c r="L41" s="397">
        <f>((C41*F41*0.15*'Emission - Calc (Non-CO2)'!H42)+(C41*F41*0.65*'Emission - Calc (Non-CO2)'!R42)+(C41*F41*0.2*'Emission - Calc (Non-CO2)'!AB42))*(1/1000000)*365</f>
        <v>0.73517571277500005</v>
      </c>
      <c r="M41" s="397">
        <f>((C41*F41*0.15*'Emission - Calc (Non-CO2)'!I42)+(C41*F41*0.65*'Emission - Calc (Non-CO2)'!S42)+(C41*F41*0.2*'Emission - Calc (Non-CO2)'!AC42))*(1/1101500)*365</f>
        <v>6.6412452496595565E-3</v>
      </c>
      <c r="N41" s="347">
        <f>((C41*F41*0.15*'Emission - Calc (CO2)'!F41)+(C41*F41*0.65*'Emission - Calc (CO2)'!J41)+(C41*F41*0.15*'Emission - Calc (CO2)'!N41))*(1/1101500)*365</f>
        <v>87.936700902178814</v>
      </c>
      <c r="O41" s="336">
        <f>((C41*F41*1.60934*0.15*'Fuel Savings - Calc'!F42)+(C41*F41*1.60934*0.65*'Fuel Savings - Calc'!J42)+(C41*F41*1.60934*0.2*'Fuel Savings - Calc'!N42))*0.000264172*365</f>
        <v>17490.949361627252</v>
      </c>
    </row>
    <row r="42" spans="1:15" x14ac:dyDescent="0.25">
      <c r="A42" s="344">
        <v>458</v>
      </c>
      <c r="B42" s="89" t="s">
        <v>27</v>
      </c>
      <c r="C42" s="89">
        <v>43978</v>
      </c>
      <c r="D42" s="343">
        <v>2E-3</v>
      </c>
      <c r="E42" s="343">
        <v>4.8000000000000001E-2</v>
      </c>
      <c r="F42" s="345">
        <v>0.3</v>
      </c>
      <c r="G42" s="346">
        <f>((C42*(1-(D42+E42))*'Travel Time - Calc'!F41*0.15*'Travel Time - Value'!$B$19)+(C42*(1-(D42+E42))*'Travel Time - Calc'!J41*0.65*'Travel Time - Value'!$B$19)+(C42*(1-(D42+E42))*'Travel Time - Calc'!H41*0.2*'Travel Time - Value'!$B$19))*(1/3600)*365</f>
        <v>275968.29962915275</v>
      </c>
      <c r="H42" s="342">
        <f>((C42*D42*'Travel Time - Calc'!F41*0.15)+(C42*D42*'Travel Time - Calc'!J41*0.65)+(C42*D42*'Travel Time - Calc'!H41*0.2))*(1/3600)*365</f>
        <v>417.97546327777781</v>
      </c>
      <c r="I42" s="347">
        <f>((C42*E42*'Travel Time - Calc'!F41*0.15*'Travel Time - Value'!$B$20)+(C42*E42*'Travel Time - Calc'!J41*0.65*'Travel Time - Value'!$B$20)+(C42*E42*'Travel Time - Calc'!H41*0.2*'Travel Time - Value'!$B$20))*(1/3600)*365</f>
        <v>10031.411118666667</v>
      </c>
      <c r="J42" s="396">
        <f>((C42*F42*0.15*'Emission - Calc (Non-CO2)'!F43)+(C42*F42*0.65*'Emission - Calc (Non-CO2)'!P43)+(C42*F42*0.2*'Emission - Calc (Non-CO2)'!Z43))*(1/1101500)*365</f>
        <v>0.69700378858828882</v>
      </c>
      <c r="K42" s="397">
        <f>((C42*F42*0.15*'Emission - Calc (Non-CO2)'!G43)+(C42*F42*0.65*'Emission - Calc (Non-CO2)'!Q43)+(C42*F42*0.2*'Emission - Calc (Non-CO2)'!AA43))*(1/1101500)*365</f>
        <v>1.8781023492419429</v>
      </c>
      <c r="L42" s="397">
        <f>((C42*F42*0.15*'Emission - Calc (Non-CO2)'!H43)+(C42*F42*0.65*'Emission - Calc (Non-CO2)'!R43)+(C42*F42*0.2*'Emission - Calc (Non-CO2)'!AB43))*(1/1000000)*365</f>
        <v>14.297056275810002</v>
      </c>
      <c r="M42" s="397">
        <f>((C42*F42*0.15*'Emission - Calc (Non-CO2)'!I43)+(C42*F42*0.65*'Emission - Calc (Non-CO2)'!S43)+(C42*F42*0.2*'Emission - Calc (Non-CO2)'!AC43))*(1/1101500)*365</f>
        <v>0.14250039822514757</v>
      </c>
      <c r="N42" s="347">
        <f>((C42*F42*0.15*'Emission - Calc (CO2)'!F42)+(C42*F42*0.65*'Emission - Calc (CO2)'!J42)+(C42*F42*0.15*'Emission - Calc (CO2)'!N42))*(1/1101500)*365</f>
        <v>1793.5508014071725</v>
      </c>
      <c r="O42" s="336">
        <f>((C42*F42*1.60934*0.15*'Fuel Savings - Calc'!F43)+(C42*F42*1.60934*0.65*'Fuel Savings - Calc'!J43)+(C42*F42*1.60934*0.2*'Fuel Savings - Calc'!N43))*0.000264172*365</f>
        <v>348125.26110258029</v>
      </c>
    </row>
    <row r="43" spans="1:15" x14ac:dyDescent="0.25">
      <c r="A43" s="344">
        <v>530</v>
      </c>
      <c r="B43" s="89" t="s">
        <v>26</v>
      </c>
      <c r="C43" s="89">
        <v>32896</v>
      </c>
      <c r="D43" s="343">
        <v>5.0000000000000001E-3</v>
      </c>
      <c r="E43" s="343">
        <v>0.05</v>
      </c>
      <c r="F43" s="345">
        <v>0.2</v>
      </c>
      <c r="G43" s="346">
        <f>((C43*(1-(D43+E43))*'Travel Time - Calc'!F42*0.15*'Travel Time - Value'!$B$19)+(C43*(1-(D43+E43))*'Travel Time - Calc'!J42*0.65*'Travel Time - Value'!$B$19)+(C43*(1-(D43+E43))*'Travel Time - Calc'!H42*0.2*'Travel Time - Value'!$B$19))*(1/3600)*365</f>
        <v>136689.34406399998</v>
      </c>
      <c r="H43" s="342">
        <f>((C43*D43*'Travel Time - Calc'!F42*0.15)+(C43*D43*'Travel Time - Calc'!J42*0.65)+(C43*D43*'Travel Time - Calc'!H42*0.2))*(1/3600)*365</f>
        <v>520.30506666666668</v>
      </c>
      <c r="I43" s="347">
        <f>((C43*E43*'Travel Time - Calc'!F42*0.15*'Travel Time - Value'!$B$20)+(C43*E43*'Travel Time - Calc'!J42*0.65*'Travel Time - Value'!$B$20)+(C43*E43*'Travel Time - Calc'!H42*0.2*'Travel Time - Value'!$B$20))*(1/3600)*365</f>
        <v>5203.050666666667</v>
      </c>
      <c r="J43" s="396">
        <f>((C43*F43*0.15*'Emission - Calc (Non-CO2)'!F44)+(C43*F43*0.65*'Emission - Calc (Non-CO2)'!P44)+(C43*F43*0.2*'Emission - Calc (Non-CO2)'!Z44))*(1/1101500)*365</f>
        <v>0.2824025286246028</v>
      </c>
      <c r="K43" s="397">
        <f>((C43*F43*0.15*'Emission - Calc (Non-CO2)'!G44)+(C43*F43*0.65*'Emission - Calc (Non-CO2)'!Q44)+(C43*F43*0.2*'Emission - Calc (Non-CO2)'!AA44))*(1/1101500)*365</f>
        <v>0.84934410865183851</v>
      </c>
      <c r="L43" s="397">
        <f>((C43*F43*0.15*'Emission - Calc (Non-CO2)'!H44)+(C43*F43*0.65*'Emission - Calc (Non-CO2)'!R44)+(C43*F43*0.2*'Emission - Calc (Non-CO2)'!AB44))*(1/1000000)*365</f>
        <v>6.3934246099200003</v>
      </c>
      <c r="M43" s="397">
        <f>((C43*F43*0.15*'Emission - Calc (Non-CO2)'!I44)+(C43*F43*0.65*'Emission - Calc (Non-CO2)'!S44)+(C43*F43*0.2*'Emission - Calc (Non-CO2)'!AC44))*(1/1101500)*365</f>
        <v>5.9626426509305497E-2</v>
      </c>
      <c r="N43" s="347">
        <f>((C43*F43*0.15*'Emission - Calc (CO2)'!F43)+(C43*F43*0.65*'Emission - Calc (CO2)'!J43)+(C43*F43*0.15*'Emission - Calc (CO2)'!N43))*(1/1101500)*365</f>
        <v>758.13856740807955</v>
      </c>
      <c r="O43" s="336">
        <f>((C43*F43*1.60934*0.15*'Fuel Savings - Calc'!F44)+(C43*F43*1.60934*0.65*'Fuel Savings - Calc'!J44)+(C43*F43*1.60934*0.2*'Fuel Savings - Calc'!N44))*0.000264172*365</f>
        <v>151237.60067530387</v>
      </c>
    </row>
    <row r="44" spans="1:15" x14ac:dyDescent="0.25">
      <c r="A44" s="344">
        <v>530</v>
      </c>
      <c r="B44" s="89" t="s">
        <v>27</v>
      </c>
      <c r="C44" s="89">
        <v>18872</v>
      </c>
      <c r="D44" s="343">
        <v>6.0000000000000001E-3</v>
      </c>
      <c r="E44" s="343">
        <v>3.2000000000000001E-2</v>
      </c>
      <c r="F44" s="345">
        <v>0.6</v>
      </c>
      <c r="G44" s="346">
        <f>((C44*(1-(D44+E44))*'Travel Time - Calc'!F43*0.15*'Travel Time - Value'!$B$19)+(C44*(1-(D44+E44))*'Travel Time - Calc'!J43*0.65*'Travel Time - Value'!$B$19)+(C44*(1-(D44+E44))*'Travel Time - Calc'!H43*0.2*'Travel Time - Value'!$B$19))*(1/3600)*365</f>
        <v>564063.45983421768</v>
      </c>
      <c r="H44" s="342">
        <f>((C44*D44*'Travel Time - Calc'!F43*0.15)+(C44*D44*'Travel Time - Calc'!J43*0.65)+(C44*D44*'Travel Time - Calc'!H43*0.2))*(1/3600)*365</f>
        <v>2530.9836813333336</v>
      </c>
      <c r="I44" s="347">
        <f>((C44*E44*'Travel Time - Calc'!F43*0.15*'Travel Time - Value'!$B$20)+(C44*E44*'Travel Time - Calc'!J43*0.65*'Travel Time - Value'!$B$20)+(C44*E44*'Travel Time - Calc'!H43*0.2*'Travel Time - Value'!$B$20))*(1/3600)*365</f>
        <v>13498.579633777779</v>
      </c>
      <c r="J44" s="396">
        <f>((C44*F44*0.15*'Emission - Calc (Non-CO2)'!F45)+(C44*F44*0.65*'Emission - Calc (Non-CO2)'!P45)+(C44*F44*0.2*'Emission - Calc (Non-CO2)'!Z45))*(1/1101500)*365</f>
        <v>1.9500554961053105</v>
      </c>
      <c r="K44" s="397">
        <f>((C44*F44*0.15*'Emission - Calc (Non-CO2)'!G45)+(C44*F44*0.65*'Emission - Calc (Non-CO2)'!Q45)+(C44*F44*0.2*'Emission - Calc (Non-CO2)'!AA45))*(1/1101500)*365</f>
        <v>3.813680744475715</v>
      </c>
      <c r="L44" s="397">
        <f>((C44*F44*0.15*'Emission - Calc (Non-CO2)'!H45)+(C44*F44*0.65*'Emission - Calc (Non-CO2)'!R45)+(C44*F44*0.2*'Emission - Calc (Non-CO2)'!AB45))*(1/1000000)*365</f>
        <v>24.711780271079995</v>
      </c>
      <c r="M44" s="397">
        <f>((C44*F44*0.15*'Emission - Calc (Non-CO2)'!I45)+(C44*F44*0.65*'Emission - Calc (Non-CO2)'!S45)+(C44*F44*0.2*'Emission - Calc (Non-CO2)'!AC45))*(1/1101500)*365</f>
        <v>0.34945435740354058</v>
      </c>
      <c r="N44" s="347">
        <f>((C44*F44*0.15*'Emission - Calc (CO2)'!F44)+(C44*F44*0.65*'Emission - Calc (CO2)'!J44)+(C44*F44*0.15*'Emission - Calc (CO2)'!N44))*(1/1101500)*365</f>
        <v>1724.9935323649547</v>
      </c>
      <c r="O44" s="336">
        <f>((C44*F44*1.60934*0.15*'Fuel Savings - Calc'!F45)+(C44*F44*1.60934*0.65*'Fuel Savings - Calc'!J45)+(C44*F44*1.60934*0.2*'Fuel Savings - Calc'!N45))*0.000264172*365</f>
        <v>503375.88279346953</v>
      </c>
    </row>
    <row r="45" spans="1:15" x14ac:dyDescent="0.25">
      <c r="A45" s="344">
        <v>564</v>
      </c>
      <c r="B45" s="89" t="s">
        <v>26</v>
      </c>
      <c r="C45" s="89">
        <v>2046</v>
      </c>
      <c r="D45" s="343">
        <v>2E-3</v>
      </c>
      <c r="E45" s="343">
        <v>4.2000000000000003E-2</v>
      </c>
      <c r="F45" s="345">
        <v>0.1</v>
      </c>
      <c r="G45" s="346">
        <f>((C45*(1-(D45+E45))*'Travel Time - Calc'!F44*0.15*'Travel Time - Value'!$B$19)+(C45*(1-(D45+E45))*'Travel Time - Calc'!J44*0.65*'Travel Time - Value'!$B$19)+(C45*(1-(D45+E45))*'Travel Time - Calc'!H44*0.2*'Travel Time - Value'!$B$19))*(1/3600)*365</f>
        <v>2115.6658197583338</v>
      </c>
      <c r="H45" s="342">
        <f>((C45*D45*'Travel Time - Calc'!F44*0.15)+(C45*D45*'Travel Time - Calc'!J44*0.65)+(C45*D45*'Travel Time - Calc'!H44*0.2))*(1/3600)*365</f>
        <v>3.1842295833333338</v>
      </c>
      <c r="I45" s="347">
        <f>((C45*E45*'Travel Time - Calc'!F44*0.15*'Travel Time - Value'!$B$20)+(C45*E45*'Travel Time - Calc'!J44*0.65*'Travel Time - Value'!$B$20)+(C45*E45*'Travel Time - Calc'!H44*0.2*'Travel Time - Value'!$B$20))*(1/3600)*365</f>
        <v>66.868821250000011</v>
      </c>
      <c r="J45" s="396">
        <f>((C45*F45*0.15*'Emission - Calc (Non-CO2)'!F46)+(C45*F45*0.65*'Emission - Calc (Non-CO2)'!P46)+(C45*F45*0.2*'Emission - Calc (Non-CO2)'!Z46))*(1/1101500)*365</f>
        <v>6.3031381116659116E-3</v>
      </c>
      <c r="K45" s="397">
        <f>((C45*F45*0.15*'Emission - Calc (Non-CO2)'!G46)+(C45*F45*0.65*'Emission - Calc (Non-CO2)'!Q46)+(C45*F45*0.2*'Emission - Calc (Non-CO2)'!AA46))*(1/1101500)*365</f>
        <v>2.3691175451656835E-2</v>
      </c>
      <c r="L45" s="397">
        <f>((C45*F45*0.15*'Emission - Calc (Non-CO2)'!H46)+(C45*F45*0.65*'Emission - Calc (Non-CO2)'!R46)+(C45*F45*0.2*'Emission - Calc (Non-CO2)'!AB46))*(1/1000000)*365</f>
        <v>0.16391443068</v>
      </c>
      <c r="M45" s="397">
        <f>((C45*F45*0.15*'Emission - Calc (Non-CO2)'!I46)+(C45*F45*0.65*'Emission - Calc (Non-CO2)'!S46)+(C45*F45*0.2*'Emission - Calc (Non-CO2)'!AC46))*(1/1101500)*365</f>
        <v>1.2596784566500229E-3</v>
      </c>
      <c r="N45" s="347">
        <f>((C45*F45*0.15*'Emission - Calc (CO2)'!F45)+(C45*F45*0.65*'Emission - Calc (CO2)'!J45)+(C45*F45*0.15*'Emission - Calc (CO2)'!N45))*(1/1101500)*365</f>
        <v>21.252836609169314</v>
      </c>
      <c r="O45" s="336">
        <f>((C45*F45*1.60934*0.15*'Fuel Savings - Calc'!F46)+(C45*F45*1.60934*0.65*'Fuel Savings - Calc'!J46)+(C45*F45*1.60934*0.2*'Fuel Savings - Calc'!N46))*0.000264172*365</f>
        <v>4024.8114423276184</v>
      </c>
    </row>
    <row r="46" spans="1:15" x14ac:dyDescent="0.25">
      <c r="A46" s="344">
        <v>564</v>
      </c>
      <c r="B46" s="89" t="s">
        <v>27</v>
      </c>
      <c r="C46" s="89">
        <v>26591</v>
      </c>
      <c r="D46" s="343">
        <v>2E-3</v>
      </c>
      <c r="E46" s="343">
        <v>4.2000000000000003E-2</v>
      </c>
      <c r="F46" s="345">
        <v>0.01</v>
      </c>
      <c r="G46" s="346">
        <f>((C46*(1-(D46+E46))*'Travel Time - Calc'!F45*0.15*'Travel Time - Value'!$B$19)+(C46*(1-(D46+E46))*'Travel Time - Calc'!J45*0.65*'Travel Time - Value'!$B$19)+(C46*(1-(D46+E46))*'Travel Time - Calc'!H45*0.2*'Travel Time - Value'!$B$19))*(1/3600)*365</f>
        <v>44567.482907851103</v>
      </c>
      <c r="H46" s="342">
        <f>((C46*D46*'Travel Time - Calc'!F45*0.15)+(C46*D46*'Travel Time - Calc'!J45*0.65)+(C46*D46*'Travel Time - Calc'!H45*0.2))*(1/3600)*365</f>
        <v>67.077274777777788</v>
      </c>
      <c r="I46" s="347">
        <f>((C46*E46*'Travel Time - Calc'!F45*0.15*'Travel Time - Value'!$B$20)+(C46*E46*'Travel Time - Calc'!J45*0.65*'Travel Time - Value'!$B$20)+(C46*E46*'Travel Time - Calc'!H45*0.2*'Travel Time - Value'!$B$20))*(1/3600)*365</f>
        <v>1408.6227703333334</v>
      </c>
      <c r="J46" s="396">
        <f>((C46*F46*0.15*'Emission - Calc (Non-CO2)'!F47)+(C46*F46*0.65*'Emission - Calc (Non-CO2)'!P47)+(C46*F46*0.2*'Emission - Calc (Non-CO2)'!Z47))*(1/1101500)*365</f>
        <v>2.0248949937131187E-2</v>
      </c>
      <c r="K46" s="397">
        <f>((C46*F46*0.15*'Emission - Calc (Non-CO2)'!G47)+(C46*F46*0.65*'Emission - Calc (Non-CO2)'!Q47)+(C46*F46*0.2*'Emission - Calc (Non-CO2)'!AA47))*(1/1101500)*365</f>
        <v>4.6224844462778039E-2</v>
      </c>
      <c r="L46" s="397">
        <f>((C46*F46*0.15*'Emission - Calc (Non-CO2)'!H47)+(C46*F46*0.65*'Emission - Calc (Non-CO2)'!R47)+(C46*F46*0.2*'Emission - Calc (Non-CO2)'!AB47))*(1/1000000)*365</f>
        <v>0.36020092150875005</v>
      </c>
      <c r="M46" s="397">
        <f>((C46*F46*0.15*'Emission - Calc (Non-CO2)'!I47)+(C46*F46*0.65*'Emission - Calc (Non-CO2)'!S47)+(C46*F46*0.2*'Emission - Calc (Non-CO2)'!AC47))*(1/1101500)*365</f>
        <v>3.9871412051747622E-3</v>
      </c>
      <c r="N46" s="347">
        <f>((C46*F46*0.15*'Emission - Calc (CO2)'!F46)+(C46*F46*0.65*'Emission - Calc (CO2)'!J46)+(C46*F46*0.15*'Emission - Calc (CO2)'!N46))*(1/1101500)*365</f>
        <v>51.810807262823452</v>
      </c>
      <c r="O46" s="336">
        <f>((C46*F46*1.60934*0.15*'Fuel Savings - Calc'!F47)+(C46*F46*1.60934*0.65*'Fuel Savings - Calc'!J47)+(C46*F46*1.60934*0.2*'Fuel Savings - Calc'!N47))*0.000264172*365</f>
        <v>9194.4988101085746</v>
      </c>
    </row>
    <row r="47" spans="1:15" x14ac:dyDescent="0.25">
      <c r="A47" s="344">
        <v>572</v>
      </c>
      <c r="B47" s="89" t="s">
        <v>26</v>
      </c>
      <c r="C47" s="89">
        <v>48682</v>
      </c>
      <c r="D47" s="343">
        <v>2E-3</v>
      </c>
      <c r="E47" s="343">
        <v>4.2000000000000003E-2</v>
      </c>
      <c r="F47" s="345">
        <v>0.1</v>
      </c>
      <c r="G47" s="346">
        <f>((C47*(1-(D47+E47))*'Travel Time - Calc'!F46*0.15*'Travel Time - Value'!$B$19)+(C47*(1-(D47+E47))*'Travel Time - Calc'!J46*0.65*'Travel Time - Value'!$B$19)+(C47*(1-(D47+E47))*'Travel Time - Calc'!H46*0.2*'Travel Time - Value'!$B$19))*(1/3600)*365</f>
        <v>267701.78627085499</v>
      </c>
      <c r="H47" s="342">
        <f>((C47*D47*'Travel Time - Calc'!F46*0.15)+(C47*D47*'Travel Time - Calc'!J46*0.65)+(C47*D47*'Travel Time - Calc'!H46*0.2))*(1/3600)*365</f>
        <v>402.91048775000002</v>
      </c>
      <c r="I47" s="347">
        <f>((C47*E47*'Travel Time - Calc'!F46*0.15*'Travel Time - Value'!$B$20)+(C47*E47*'Travel Time - Calc'!J46*0.65*'Travel Time - Value'!$B$20)+(C47*E47*'Travel Time - Calc'!H46*0.2*'Travel Time - Value'!$B$20))*(1/3600)*365</f>
        <v>8461.1202427500011</v>
      </c>
      <c r="J47" s="396">
        <f>((C47*F47*0.15*'Emission - Calc (Non-CO2)'!F48)+(C47*F47*0.65*'Emission - Calc (Non-CO2)'!P48)+(C47*F47*0.2*'Emission - Calc (Non-CO2)'!Z48))*(1/1101500)*365</f>
        <v>0.68851982369042208</v>
      </c>
      <c r="K47" s="397">
        <f>((C47*F47*0.15*'Emission - Calc (Non-CO2)'!G48)+(C47*F47*0.65*'Emission - Calc (Non-CO2)'!Q48)+(C47*F47*0.2*'Emission - Calc (Non-CO2)'!AA48))*(1/1101500)*365</f>
        <v>1.2692484623967317</v>
      </c>
      <c r="L47" s="397">
        <f>((C47*F47*0.15*'Emission - Calc (Non-CO2)'!H48)+(C47*F47*0.65*'Emission - Calc (Non-CO2)'!R48)+(C47*F47*0.2*'Emission - Calc (Non-CO2)'!AB48))*(1/1000000)*365</f>
        <v>9.0836280519049986</v>
      </c>
      <c r="M47" s="397">
        <f>((C47*F47*0.15*'Emission - Calc (Non-CO2)'!I48)+(C47*F47*0.65*'Emission - Calc (Non-CO2)'!S48)+(C47*F47*0.2*'Emission - Calc (Non-CO2)'!AC48))*(1/1101500)*365</f>
        <v>0.12602793066273263</v>
      </c>
      <c r="N47" s="347">
        <f>((C47*F47*0.15*'Emission - Calc (CO2)'!F47)+(C47*F47*0.65*'Emission - Calc (CO2)'!J47)+(C47*F47*0.15*'Emission - Calc (CO2)'!N47))*(1/1101500)*365</f>
        <v>1564.2586753858373</v>
      </c>
      <c r="O47" s="336">
        <f>((C47*F47*1.60934*0.15*'Fuel Savings - Calc'!F48)+(C47*F47*1.60934*0.65*'Fuel Savings - Calc'!J48)+(C47*F47*1.60934*0.2*'Fuel Savings - Calc'!N48))*0.000264172*365</f>
        <v>287724.22139411955</v>
      </c>
    </row>
    <row r="48" spans="1:15" x14ac:dyDescent="0.25">
      <c r="A48" s="344">
        <v>572</v>
      </c>
      <c r="B48" s="89" t="s">
        <v>27</v>
      </c>
      <c r="C48" s="89">
        <v>1534</v>
      </c>
      <c r="D48" s="343">
        <v>2E-3</v>
      </c>
      <c r="E48" s="343">
        <v>4.2000000000000003E-2</v>
      </c>
      <c r="F48" s="345">
        <v>0.2</v>
      </c>
      <c r="G48" s="346">
        <f>((C48*(1-(D48+E48))*'Travel Time - Calc'!F47*0.15*'Travel Time - Value'!$B$19)+(C48*(1-(D48+E48))*'Travel Time - Calc'!J47*0.65*'Travel Time - Value'!$B$19)+(C48*(1-(D48+E48))*'Travel Time - Calc'!H47*0.2*'Travel Time - Value'!$B$19))*(1/3600)*365</f>
        <v>3530.0128164311104</v>
      </c>
      <c r="H48" s="342">
        <f>((C48*D48*'Travel Time - Calc'!F47*0.15)+(C48*D48*'Travel Time - Calc'!J47*0.65)+(C48*D48*'Travel Time - Calc'!H47*0.2))*(1/3600)*365</f>
        <v>5.3129237777777787</v>
      </c>
      <c r="I48" s="347">
        <f>((C48*E48*'Travel Time - Calc'!F47*0.15*'Travel Time - Value'!$B$20)+(C48*E48*'Travel Time - Calc'!J47*0.65*'Travel Time - Value'!$B$20)+(C48*E48*'Travel Time - Calc'!H47*0.2*'Travel Time - Value'!$B$20))*(1/3600)*365</f>
        <v>111.57139933333335</v>
      </c>
      <c r="J48" s="396">
        <f>((C48*F48*0.15*'Emission - Calc (Non-CO2)'!F49)+(C48*F48*0.65*'Emission - Calc (Non-CO2)'!P49)+(C48*F48*0.2*'Emission - Calc (Non-CO2)'!Z49))*(1/1101500)*365</f>
        <v>9.7184923195642314E-3</v>
      </c>
      <c r="K48" s="397">
        <f>((C48*F48*0.15*'Emission - Calc (Non-CO2)'!G49)+(C48*F48*0.65*'Emission - Calc (Non-CO2)'!Q49)+(C48*F48*0.2*'Emission - Calc (Non-CO2)'!AA49))*(1/1101500)*365</f>
        <v>3.5399629877439859E-2</v>
      </c>
      <c r="L48" s="397">
        <f>((C48*F48*0.15*'Emission - Calc (Non-CO2)'!H49)+(C48*F48*0.65*'Emission - Calc (Non-CO2)'!R49)+(C48*F48*0.2*'Emission - Calc (Non-CO2)'!AB49))*(1/1000000)*365</f>
        <v>0.24868290667999998</v>
      </c>
      <c r="M48" s="397">
        <f>((C48*F48*0.15*'Emission - Calc (Non-CO2)'!I49)+(C48*F48*0.65*'Emission - Calc (Non-CO2)'!S49)+(C48*F48*0.2*'Emission - Calc (Non-CO2)'!AC49))*(1/1101500)*365</f>
        <v>1.9463417067635046E-3</v>
      </c>
      <c r="N48" s="347">
        <f>((C48*F48*0.15*'Emission - Calc (CO2)'!F48)+(C48*F48*0.65*'Emission - Calc (CO2)'!J48)+(C48*F48*0.15*'Emission - Calc (CO2)'!N48))*(1/1101500)*365</f>
        <v>32.048048774398495</v>
      </c>
      <c r="O48" s="336">
        <f>((C48*F48*1.60934*0.15*'Fuel Savings - Calc'!F49)+(C48*F48*1.60934*0.65*'Fuel Savings - Calc'!J49)+(C48*F48*1.60934*0.2*'Fuel Savings - Calc'!N49))*0.000264172*365</f>
        <v>6111.0304703288439</v>
      </c>
    </row>
    <row r="49" spans="1:15" x14ac:dyDescent="0.25">
      <c r="A49" s="344">
        <v>573</v>
      </c>
      <c r="B49" s="89" t="s">
        <v>26</v>
      </c>
      <c r="C49" s="89">
        <v>2056</v>
      </c>
      <c r="D49" s="343">
        <v>2E-3</v>
      </c>
      <c r="E49" s="343">
        <v>4.2000000000000003E-2</v>
      </c>
      <c r="F49" s="345">
        <v>0.2</v>
      </c>
      <c r="G49" s="346">
        <f>((C49*(1-(D49+E49))*'Travel Time - Calc'!F48*0.15*'Travel Time - Value'!$B$19)+(C49*(1-(D49+E49))*'Travel Time - Calc'!J48*0.65*'Travel Time - Value'!$B$19)+(C49*(1-(D49+E49))*'Travel Time - Calc'!H48*0.2*'Travel Time - Value'!$B$19))*(1/3600)*365</f>
        <v>22715.719616846665</v>
      </c>
      <c r="H49" s="342">
        <f>((C49*D49*'Travel Time - Calc'!F48*0.15)+(C49*D49*'Travel Time - Calc'!J48*0.65)+(C49*D49*'Travel Time - Calc'!H48*0.2))*(1/3600)*365</f>
        <v>34.188795666666671</v>
      </c>
      <c r="I49" s="347">
        <f>((C49*E49*'Travel Time - Calc'!F48*0.15*'Travel Time - Value'!$B$20)+(C49*E49*'Travel Time - Calc'!J48*0.65*'Travel Time - Value'!$B$20)+(C49*E49*'Travel Time - Calc'!H48*0.2*'Travel Time - Value'!$B$20))*(1/3600)*365</f>
        <v>717.96470899999997</v>
      </c>
      <c r="J49" s="396">
        <f>((C49*F49*0.15*'Emission - Calc (Non-CO2)'!F50)+(C49*F49*0.65*'Emission - Calc (Non-CO2)'!P50)+(C49*F49*0.2*'Emission - Calc (Non-CO2)'!Z50))*(1/1101500)*365</f>
        <v>4.6128725846572849E-2</v>
      </c>
      <c r="K49" s="397">
        <f>((C49*F49*0.15*'Emission - Calc (Non-CO2)'!G50)+(C49*F49*0.65*'Emission - Calc (Non-CO2)'!Q50)+(C49*F49*0.2*'Emission - Calc (Non-CO2)'!AA50))*(1/1101500)*365</f>
        <v>9.0937794607353614E-2</v>
      </c>
      <c r="L49" s="397">
        <f>((C49*F49*0.15*'Emission - Calc (Non-CO2)'!H50)+(C49*F49*0.65*'Emission - Calc (Non-CO2)'!R50)+(C49*F49*0.2*'Emission - Calc (Non-CO2)'!AB50))*(1/1000000)*365</f>
        <v>0.66446359008</v>
      </c>
      <c r="M49" s="397">
        <f>((C49*F49*0.15*'Emission - Calc (Non-CO2)'!I50)+(C49*F49*0.65*'Emission - Calc (Non-CO2)'!S50)+(C49*F49*0.2*'Emission - Calc (Non-CO2)'!AC50))*(1/1101500)*365</f>
        <v>8.5944626418520218E-3</v>
      </c>
      <c r="N49" s="347">
        <f>((C49*F49*0.15*'Emission - Calc (CO2)'!F49)+(C49*F49*0.65*'Emission - Calc (CO2)'!J49)+(C49*F49*0.15*'Emission - Calc (CO2)'!N49))*(1/1101500)*365</f>
        <v>107.83104039945533</v>
      </c>
      <c r="O49" s="336">
        <f>((C49*F49*1.60934*0.15*'Fuel Savings - Calc'!F50)+(C49*F49*1.60934*0.65*'Fuel Savings - Calc'!J50)+(C49*F49*1.60934*0.2*'Fuel Savings - Calc'!N50))*0.000264172*365</f>
        <v>19055.588973715065</v>
      </c>
    </row>
    <row r="50" spans="1:15" x14ac:dyDescent="0.25">
      <c r="A50" s="344">
        <v>573</v>
      </c>
      <c r="B50" s="89" t="s">
        <v>27</v>
      </c>
      <c r="C50" s="89">
        <v>46996</v>
      </c>
      <c r="D50" s="343">
        <v>2E-3</v>
      </c>
      <c r="E50" s="343">
        <v>4.2000000000000003E-2</v>
      </c>
      <c r="F50" s="345">
        <v>0.1</v>
      </c>
      <c r="G50" s="346">
        <f>((C50*(1-(D50+E50))*'Travel Time - Calc'!F49*0.15*'Travel Time - Value'!$B$19)+(C50*(1-(D50+E50))*'Travel Time - Calc'!J49*0.65*'Travel Time - Value'!$B$19)+(C50*(1-(D50+E50))*'Travel Time - Calc'!H49*0.2*'Travel Time - Value'!$B$19))*(1/3600)*365</f>
        <v>64140.655902268882</v>
      </c>
      <c r="H50" s="342">
        <f>((C50*D50*'Travel Time - Calc'!F49*0.15)+(C50*D50*'Travel Time - Calc'!J49*0.65)+(C50*D50*'Travel Time - Calc'!H49*0.2))*(1/3600)*365</f>
        <v>96.536311222222238</v>
      </c>
      <c r="I50" s="347">
        <f>((C50*E50*'Travel Time - Calc'!F49*0.15*'Travel Time - Value'!$B$20)+(C50*E50*'Travel Time - Calc'!J49*0.65*'Travel Time - Value'!$B$20)+(C50*E50*'Travel Time - Calc'!H49*0.2*'Travel Time - Value'!$B$20))*(1/3600)*365</f>
        <v>2027.262535666667</v>
      </c>
      <c r="J50" s="396">
        <f>((C50*F50*0.15*'Emission - Calc (Non-CO2)'!F51)+(C50*F50*0.65*'Emission - Calc (Non-CO2)'!P51)+(C50*F50*0.2*'Emission - Calc (Non-CO2)'!Z51))*(1/1101500)*365</f>
        <v>0.17756210901497962</v>
      </c>
      <c r="K50" s="397">
        <f>((C50*F50*0.15*'Emission - Calc (Non-CO2)'!G51)+(C50*F50*0.65*'Emission - Calc (Non-CO2)'!Q51)+(C50*F50*0.2*'Emission - Calc (Non-CO2)'!AA51))*(1/1101500)*365</f>
        <v>0.57210910190649111</v>
      </c>
      <c r="L50" s="397">
        <f>((C50*F50*0.15*'Emission - Calc (Non-CO2)'!H51)+(C50*F50*0.65*'Emission - Calc (Non-CO2)'!R51)+(C50*F50*0.2*'Emission - Calc (Non-CO2)'!AB51))*(1/1000000)*365</f>
        <v>4.2211688535100009</v>
      </c>
      <c r="M50" s="397">
        <f>((C50*F50*0.15*'Emission - Calc (Non-CO2)'!I51)+(C50*F50*0.65*'Emission - Calc (Non-CO2)'!S51)+(C50*F50*0.2*'Emission - Calc (Non-CO2)'!AC51))*(1/1101500)*365</f>
        <v>3.6549576377666829E-2</v>
      </c>
      <c r="N50" s="347">
        <f>((C50*F50*0.15*'Emission - Calc (CO2)'!F50)+(C50*F50*0.65*'Emission - Calc (CO2)'!J50)+(C50*F50*0.15*'Emission - Calc (CO2)'!N50))*(1/1101500)*365</f>
        <v>516.88373538356768</v>
      </c>
      <c r="O50" s="336">
        <f>((C50*F50*1.60934*0.15*'Fuel Savings - Calc'!F51)+(C50*F50*1.60934*0.65*'Fuel Savings - Calc'!J51)+(C50*F50*1.60934*0.2*'Fuel Savings - Calc'!N51))*0.000264172*365</f>
        <v>101512.95627174573</v>
      </c>
    </row>
    <row r="51" spans="1:15" x14ac:dyDescent="0.25">
      <c r="A51" s="344">
        <v>574</v>
      </c>
      <c r="B51" s="89" t="s">
        <v>26</v>
      </c>
      <c r="C51" s="89">
        <v>43926</v>
      </c>
      <c r="D51" s="343">
        <v>2E-3</v>
      </c>
      <c r="E51" s="343">
        <v>6.3E-2</v>
      </c>
      <c r="F51" s="345">
        <v>0.1</v>
      </c>
      <c r="G51" s="346">
        <f>((C51*(1-(D51+E51))*'Travel Time - Calc'!F50*0.15*'Travel Time - Value'!$B$19)+(C51*(1-(D51+E51))*'Travel Time - Calc'!J50*0.65*'Travel Time - Value'!$B$19)+(C51*(1-(D51+E51))*'Travel Time - Calc'!H50*0.2*'Travel Time - Value'!$B$19))*(1/3600)*365</f>
        <v>493062.03041844378</v>
      </c>
      <c r="H51" s="342">
        <f>((C51*D51*'Travel Time - Calc'!F50*0.15)+(C51*D51*'Travel Time - Calc'!J50*0.65)+(C51*D51*'Travel Time - Calc'!H50*0.2))*(1/3600)*365</f>
        <v>758.76125175000004</v>
      </c>
      <c r="I51" s="347">
        <f>((C51*E51*'Travel Time - Calc'!F50*0.15*'Travel Time - Value'!$B$20)+(C51*E51*'Travel Time - Calc'!J50*0.65*'Travel Time - Value'!$B$20)+(C51*E51*'Travel Time - Calc'!H50*0.2*'Travel Time - Value'!$B$20))*(1/3600)*365</f>
        <v>23900.979430125004</v>
      </c>
      <c r="J51" s="396">
        <f>((C51*F51*0.15*'Emission - Calc (Non-CO2)'!F52)+(C51*F51*0.65*'Emission - Calc (Non-CO2)'!P52)+(C51*F51*0.2*'Emission - Calc (Non-CO2)'!Z52))*(1/1101500)*365</f>
        <v>0.14482818928733546</v>
      </c>
      <c r="K51" s="397">
        <f>((C51*F51*0.15*'Emission - Calc (Non-CO2)'!G52)+(C51*F51*0.65*'Emission - Calc (Non-CO2)'!Q52)+(C51*F51*0.2*'Emission - Calc (Non-CO2)'!AA52))*(1/1101500)*365</f>
        <v>0.51083595147072181</v>
      </c>
      <c r="L51" s="397">
        <f>((C51*F51*0.15*'Emission - Calc (Non-CO2)'!H52)+(C51*F51*0.65*'Emission - Calc (Non-CO2)'!R52)+(C51*F51*0.2*'Emission - Calc (Non-CO2)'!AB52))*(1/1000000)*365</f>
        <v>3.6496456291650006</v>
      </c>
      <c r="M51" s="397">
        <f>((C51*F51*0.15*'Emission - Calc (Non-CO2)'!I52)+(C51*F51*0.65*'Emission - Calc (Non-CO2)'!S52)+(C51*F51*0.2*'Emission - Calc (Non-CO2)'!AC52))*(1/1101500)*365</f>
        <v>2.9176694012709947E-2</v>
      </c>
      <c r="N51" s="347">
        <f>((C51*F51*0.15*'Emission - Calc (CO2)'!F51)+(C51*F51*0.65*'Emission - Calc (CO2)'!J51)+(C51*F51*0.15*'Emission - Calc (CO2)'!N51))*(1/1101500)*365</f>
        <v>462.01284052428514</v>
      </c>
      <c r="O51" s="336">
        <f>((C51*F51*1.60934*0.15*'Fuel Savings - Calc'!F52)+(C51*F51*1.60934*0.65*'Fuel Savings - Calc'!J52)+(C51*F51*1.60934*0.2*'Fuel Savings - Calc'!N52))*0.000264172*365</f>
        <v>88954.560959663926</v>
      </c>
    </row>
    <row r="52" spans="1:15" x14ac:dyDescent="0.25">
      <c r="A52" s="344">
        <v>574</v>
      </c>
      <c r="B52" s="89" t="s">
        <v>27</v>
      </c>
      <c r="C52" s="89">
        <v>41082</v>
      </c>
      <c r="D52" s="343">
        <v>1E-3</v>
      </c>
      <c r="E52" s="343">
        <v>4.9500000000000002E-2</v>
      </c>
      <c r="F52" s="345">
        <v>0.7</v>
      </c>
      <c r="G52" s="346">
        <f>((C52*(1-(D52+E52))*'Travel Time - Calc'!F51*0.15*'Travel Time - Value'!$B$19)+(C52*(1-(D52+E52))*'Travel Time - Calc'!J51*0.65*'Travel Time - Value'!$B$19)+(C52*(1-(D52+E52))*'Travel Time - Calc'!H51*0.2*'Travel Time - Value'!$B$19))*(1/3600)*365</f>
        <v>389623.17690154689</v>
      </c>
      <c r="H52" s="342">
        <f>((C52*D52*'Travel Time - Calc'!F51*0.15)+(C52*D52*'Travel Time - Calc'!J51*0.65)+(C52*D52*'Travel Time - Calc'!H51*0.2))*(1/3600)*365</f>
        <v>295.21268437499998</v>
      </c>
      <c r="I52" s="347">
        <f>((C52*E52*'Travel Time - Calc'!F51*0.15*'Travel Time - Value'!$B$20)+(C52*E52*'Travel Time - Calc'!J51*0.65*'Travel Time - Value'!$B$20)+(C52*E52*'Travel Time - Calc'!H51*0.2*'Travel Time - Value'!$B$20))*(1/3600)*365</f>
        <v>14613.027876562504</v>
      </c>
      <c r="J52" s="396">
        <f>((C52*F52*0.15*'Emission - Calc (Non-CO2)'!F53)+(C52*F52*0.65*'Emission - Calc (Non-CO2)'!P53)+(C52*F52*0.2*'Emission - Calc (Non-CO2)'!Z53))*(1/1101500)*365</f>
        <v>0.95173222299137539</v>
      </c>
      <c r="K52" s="397">
        <f>((C52*F52*0.15*'Emission - Calc (Non-CO2)'!G53)+(C52*F52*0.65*'Emission - Calc (Non-CO2)'!Q53)+(C52*F52*0.2*'Emission - Calc (Non-CO2)'!AA53))*(1/1101500)*365</f>
        <v>3.3270843253699489</v>
      </c>
      <c r="L52" s="397">
        <f>((C52*F52*0.15*'Emission - Calc (Non-CO2)'!H53)+(C52*F52*0.65*'Emission - Calc (Non-CO2)'!R53)+(C52*F52*0.2*'Emission - Calc (Non-CO2)'!AB53))*(1/1000000)*365</f>
        <v>23.952901181999998</v>
      </c>
      <c r="M52" s="397">
        <f>((C52*F52*0.15*'Emission - Calc (Non-CO2)'!I53)+(C52*F52*0.65*'Emission - Calc (Non-CO2)'!S53)+(C52*F52*0.2*'Emission - Calc (Non-CO2)'!AC53))*(1/1101500)*365</f>
        <v>0.19129936797548797</v>
      </c>
      <c r="N52" s="347">
        <f>((C52*F52*0.15*'Emission - Calc (CO2)'!F52)+(C52*F52*0.65*'Emission - Calc (CO2)'!J52)+(C52*F52*0.15*'Emission - Calc (CO2)'!N52))*(1/1101500)*365</f>
        <v>3025.8890689173854</v>
      </c>
      <c r="O52" s="336">
        <f>((C52*F52*1.60934*0.15*'Fuel Savings - Calc'!F53)+(C52*F52*1.60934*0.65*'Fuel Savings - Calc'!J53)+(C52*F52*1.60934*0.2*'Fuel Savings - Calc'!N53))*0.000264172*365</f>
        <v>583526.74287043361</v>
      </c>
    </row>
    <row r="53" spans="1:15" x14ac:dyDescent="0.25">
      <c r="A53" s="344">
        <v>590</v>
      </c>
      <c r="B53" s="89" t="s">
        <v>26</v>
      </c>
      <c r="C53" s="89">
        <v>39661</v>
      </c>
      <c r="D53" s="343">
        <v>8.0000000000000002E-3</v>
      </c>
      <c r="E53" s="343">
        <v>0.06</v>
      </c>
      <c r="F53" s="345">
        <v>0.3</v>
      </c>
      <c r="G53" s="346">
        <f>((C53*(1-(D53+E53))*'Travel Time - Calc'!F52*0.15*'Travel Time - Value'!$B$19)+(C53*(1-(D53+E53))*'Travel Time - Calc'!J52*0.65*'Travel Time - Value'!$B$19)+(C53*(1-(D53+E53))*'Travel Time - Calc'!H52*0.2*'Travel Time - Value'!$B$19))*(1/3600)*365</f>
        <v>127004.30368056553</v>
      </c>
      <c r="H53" s="342">
        <f>((C53*D53*'Travel Time - Calc'!F52*0.15)+(C53*D53*'Travel Time - Calc'!J52*0.65)+(C53*D53*'Travel Time - Calc'!H52*0.2))*(1/3600)*365</f>
        <v>784.29186822222221</v>
      </c>
      <c r="I53" s="347">
        <f>((C53*E53*'Travel Time - Calc'!F52*0.15*'Travel Time - Value'!$B$20)+(C53*E53*'Travel Time - Calc'!J52*0.65*'Travel Time - Value'!$B$20)+(C53*E53*'Travel Time - Calc'!H52*0.2*'Travel Time - Value'!$B$20))*(1/3600)*365</f>
        <v>5882.1890116666664</v>
      </c>
      <c r="J53" s="396">
        <f>((C53*F53*0.15*'Emission - Calc (Non-CO2)'!F54)+(C53*F53*0.65*'Emission - Calc (Non-CO2)'!P54)+(C53*F53*0.2*'Emission - Calc (Non-CO2)'!Z54))*(1/1101500)*365</f>
        <v>0.34301454062641851</v>
      </c>
      <c r="K53" s="397">
        <f>((C53*F53*0.15*'Emission - Calc (Non-CO2)'!G54)+(C53*F53*0.65*'Emission - Calc (Non-CO2)'!Q54)+(C53*F53*0.2*'Emission - Calc (Non-CO2)'!AA54))*(1/1101500)*365</f>
        <v>1.3547103006808896</v>
      </c>
      <c r="L53" s="397">
        <f>((C53*F53*0.15*'Emission - Calc (Non-CO2)'!H54)+(C53*F53*0.65*'Emission - Calc (Non-CO2)'!R54)+(C53*F53*0.2*'Emission - Calc (Non-CO2)'!AB54))*(1/1000000)*365</f>
        <v>9.1213498138499975</v>
      </c>
      <c r="M53" s="397">
        <f>((C53*F53*0.15*'Emission - Calc (Non-CO2)'!I54)+(C53*F53*0.65*'Emission - Calc (Non-CO2)'!S54)+(C53*F53*0.2*'Emission - Calc (Non-CO2)'!AC54))*(1/1101500)*365</f>
        <v>6.7814368951429851E-2</v>
      </c>
      <c r="N53" s="347">
        <f>((C53*F53*0.15*'Emission - Calc (CO2)'!F53)+(C53*F53*0.65*'Emission - Calc (CO2)'!J53)+(C53*F53*0.15*'Emission - Calc (CO2)'!N53))*(1/1101500)*365</f>
        <v>1221.9893009816117</v>
      </c>
      <c r="O53" s="336">
        <f>((C53*F53*1.60934*0.15*'Fuel Savings - Calc'!F54)+(C53*F53*1.60934*0.65*'Fuel Savings - Calc'!J54)+(C53*F53*1.60934*0.2*'Fuel Savings - Calc'!N54))*0.000264172*365</f>
        <v>228097.72609547415</v>
      </c>
    </row>
    <row r="54" spans="1:15" x14ac:dyDescent="0.25">
      <c r="A54" s="344">
        <v>590</v>
      </c>
      <c r="B54" s="89" t="s">
        <v>27</v>
      </c>
      <c r="C54" s="89">
        <v>41136</v>
      </c>
      <c r="D54" s="343">
        <v>3.0000000000000001E-3</v>
      </c>
      <c r="E54" s="343">
        <v>5.0999999999999997E-2</v>
      </c>
      <c r="F54" s="345">
        <v>0.3</v>
      </c>
      <c r="G54" s="346">
        <f>((C54*(1-(D54+E54))*'Travel Time - Calc'!F53*0.15*'Travel Time - Value'!$B$19)+(C54*(1-(D54+E54))*'Travel Time - Calc'!J53*0.65*'Travel Time - Value'!$B$19)+(C54*(1-(D54+E54))*'Travel Time - Calc'!H53*0.2*'Travel Time - Value'!$B$19))*(1/3600)*365</f>
        <v>130607.7492874733</v>
      </c>
      <c r="H54" s="342">
        <f>((C54*D54*'Travel Time - Calc'!F53*0.15)+(C54*D54*'Travel Time - Calc'!J53*0.65)+(C54*D54*'Travel Time - Calc'!H53*0.2))*(1/3600)*365</f>
        <v>297.97804300000001</v>
      </c>
      <c r="I54" s="347">
        <f>((C54*E54*'Travel Time - Calc'!F53*0.15*'Travel Time - Value'!$B$20)+(C54*E54*'Travel Time - Calc'!J53*0.65*'Travel Time - Value'!$B$20)+(C54*E54*'Travel Time - Calc'!H53*0.2*'Travel Time - Value'!$B$20))*(1/3600)*365</f>
        <v>5065.6267309999994</v>
      </c>
      <c r="J54" s="396">
        <f>((C54*F54*0.15*'Emission - Calc (Non-CO2)'!F55)+(C54*F54*0.65*'Emission - Calc (Non-CO2)'!P55)+(C54*F54*0.2*'Emission - Calc (Non-CO2)'!Z55))*(1/1101500)*365</f>
        <v>0.34922839473445294</v>
      </c>
      <c r="K54" s="397">
        <f>((C54*F54*0.15*'Emission - Calc (Non-CO2)'!G55)+(C54*F54*0.65*'Emission - Calc (Non-CO2)'!Q55)+(C54*F54*0.2*'Emission - Calc (Non-CO2)'!AA55))*(1/1101500)*365</f>
        <v>1.403436053054925</v>
      </c>
      <c r="L54" s="397">
        <f>((C54*F54*0.15*'Emission - Calc (Non-CO2)'!H55)+(C54*F54*0.65*'Emission - Calc (Non-CO2)'!R55)+(C54*F54*0.2*'Emission - Calc (Non-CO2)'!AB55))*(1/1000000)*365</f>
        <v>9.3768829142399994</v>
      </c>
      <c r="M54" s="397">
        <f>((C54*F54*0.15*'Emission - Calc (Non-CO2)'!I55)+(C54*F54*0.65*'Emission - Calc (Non-CO2)'!S55)+(C54*F54*0.2*'Emission - Calc (Non-CO2)'!AC55))*(1/1101500)*365</f>
        <v>6.87006678166137E-2</v>
      </c>
      <c r="N54" s="347">
        <f>((C54*F54*0.15*'Emission - Calc (CO2)'!F54)+(C54*F54*0.65*'Emission - Calc (CO2)'!J54)+(C54*F54*0.15*'Emission - Calc (CO2)'!N54))*(1/1101500)*365</f>
        <v>1263.3459859282787</v>
      </c>
      <c r="O54" s="336">
        <f>((C54*F54*1.60934*0.15*'Fuel Savings - Calc'!F55)+(C54*F54*1.60934*0.65*'Fuel Savings - Calc'!J55)+(C54*F54*1.60934*0.2*'Fuel Savings - Calc'!N55))*0.000264172*365</f>
        <v>234877.30018971468</v>
      </c>
    </row>
    <row r="55" spans="1:15" x14ac:dyDescent="0.25">
      <c r="A55" s="344">
        <v>591</v>
      </c>
      <c r="B55" s="89" t="s">
        <v>26</v>
      </c>
      <c r="C55" s="89">
        <v>39661</v>
      </c>
      <c r="D55" s="343">
        <v>8.0000000000000002E-3</v>
      </c>
      <c r="E55" s="343">
        <v>0.06</v>
      </c>
      <c r="F55" s="345">
        <v>0.3</v>
      </c>
      <c r="G55" s="346">
        <f>((C55*(1-(D55+E55))*'Travel Time - Calc'!F54*0.15*'Travel Time - Value'!$B$19)+(C55*(1-(D55+E55))*'Travel Time - Calc'!J54*0.65*'Travel Time - Value'!$B$19)+(C55*(1-(D55+E55))*'Travel Time - Calc'!H54*0.2*'Travel Time - Value'!$B$19))*(1/3600)*365</f>
        <v>142840.77140775663</v>
      </c>
      <c r="H55" s="342">
        <f>((C55*D55*'Travel Time - Calc'!F54*0.15)+(C55*D55*'Travel Time - Calc'!J54*0.65)+(C55*D55*'Travel Time - Calc'!H54*0.2))*(1/3600)*365</f>
        <v>882.08708066666679</v>
      </c>
      <c r="I55" s="347">
        <f>((C55*E55*'Travel Time - Calc'!F54*0.15*'Travel Time - Value'!$B$20)+(C55*E55*'Travel Time - Calc'!J54*0.65*'Travel Time - Value'!$B$20)+(C55*E55*'Travel Time - Calc'!H54*0.2*'Travel Time - Value'!$B$20))*(1/3600)*365</f>
        <v>6615.6531049999994</v>
      </c>
      <c r="J55" s="396">
        <f>((C55*F55*0.15*'Emission - Calc (Non-CO2)'!F56)+(C55*F55*0.65*'Emission - Calc (Non-CO2)'!P56)+(C55*F55*0.2*'Emission - Calc (Non-CO2)'!Z56))*(1/1101500)*365</f>
        <v>0.37660630943259188</v>
      </c>
      <c r="K55" s="397">
        <f>((C55*F55*0.15*'Emission - Calc (Non-CO2)'!G56)+(C55*F55*0.65*'Emission - Calc (Non-CO2)'!Q56)+(C55*F55*0.2*'Emission - Calc (Non-CO2)'!AA56))*(1/1101500)*365</f>
        <v>1.3818951886995008</v>
      </c>
      <c r="L55" s="397">
        <f>((C55*F55*0.15*'Emission - Calc (Non-CO2)'!H56)+(C55*F55*0.65*'Emission - Calc (Non-CO2)'!R56)+(C55*F55*0.2*'Emission - Calc (Non-CO2)'!AB56))*(1/1000000)*365</f>
        <v>9.6398679117524999</v>
      </c>
      <c r="M55" s="397">
        <f>((C55*F55*0.15*'Emission - Calc (Non-CO2)'!I56)+(C55*F55*0.65*'Emission - Calc (Non-CO2)'!S56)+(C55*F55*0.2*'Emission - Calc (Non-CO2)'!AC56))*(1/1101500)*365</f>
        <v>7.5758901128007261E-2</v>
      </c>
      <c r="N55" s="347">
        <f>((C55*F55*0.15*'Emission - Calc (CO2)'!F55)+(C55*F55*0.65*'Emission - Calc (CO2)'!J55)+(C55*F55*0.15*'Emission - Calc (CO2)'!N55))*(1/1101500)*365</f>
        <v>1242.4420358034477</v>
      </c>
      <c r="O55" s="336">
        <f>((C55*F55*1.60934*0.15*'Fuel Savings - Calc'!F56)+(C55*F55*1.60934*0.65*'Fuel Savings - Calc'!J56)+(C55*F55*1.60934*0.2*'Fuel Savings - Calc'!N56))*0.000264172*365</f>
        <v>236918.77319693132</v>
      </c>
    </row>
    <row r="56" spans="1:15" x14ac:dyDescent="0.25">
      <c r="A56" s="344">
        <v>591</v>
      </c>
      <c r="B56" s="89" t="s">
        <v>27</v>
      </c>
      <c r="C56" s="89">
        <v>41136</v>
      </c>
      <c r="D56" s="343">
        <v>3.0000000000000001E-3</v>
      </c>
      <c r="E56" s="343">
        <v>5.0999999999999997E-2</v>
      </c>
      <c r="F56" s="345">
        <v>0.1</v>
      </c>
      <c r="G56" s="346">
        <f>((C56*(1-(D56+E56))*'Travel Time - Calc'!F55*0.15*'Travel Time - Value'!$B$19)+(C56*(1-(D56+E56))*'Travel Time - Calc'!J55*0.65*'Travel Time - Value'!$B$19)+(C56*(1-(D56+E56))*'Travel Time - Calc'!H55*0.2*'Travel Time - Value'!$B$19))*(1/3600)*365</f>
        <v>47822.782858986662</v>
      </c>
      <c r="H56" s="342">
        <f>((C56*D56*'Travel Time - Calc'!F55*0.15)+(C56*D56*'Travel Time - Calc'!J55*0.65)+(C56*D56*'Travel Time - Calc'!H55*0.2))*(1/3600)*365</f>
        <v>109.10638400000001</v>
      </c>
      <c r="I56" s="347">
        <f>((C56*E56*'Travel Time - Calc'!F55*0.15*'Travel Time - Value'!$B$20)+(C56*E56*'Travel Time - Calc'!J55*0.65*'Travel Time - Value'!$B$20)+(C56*E56*'Travel Time - Calc'!H55*0.2*'Travel Time - Value'!$B$20))*(1/3600)*365</f>
        <v>1854.8085279999993</v>
      </c>
      <c r="J56" s="396">
        <f>((C56*F56*0.15*'Emission - Calc (Non-CO2)'!F57)+(C56*F56*0.65*'Emission - Calc (Non-CO2)'!P57)+(C56*F56*0.2*'Emission - Calc (Non-CO2)'!Z57))*(1/1101500)*365</f>
        <v>0.12426096980481163</v>
      </c>
      <c r="K56" s="397">
        <f>((C56*F56*0.15*'Emission - Calc (Non-CO2)'!G57)+(C56*F56*0.65*'Emission - Calc (Non-CO2)'!Q57)+(C56*F56*0.2*'Emission - Calc (Non-CO2)'!AA57))*(1/1101500)*365</f>
        <v>0.47038147718565587</v>
      </c>
      <c r="L56" s="397">
        <f>((C56*F56*0.15*'Emission - Calc (Non-CO2)'!H57)+(C56*F56*0.65*'Emission - Calc (Non-CO2)'!R57)+(C56*F56*0.2*'Emission - Calc (Non-CO2)'!AB57))*(1/1000000)*365</f>
        <v>3.2328922262400006</v>
      </c>
      <c r="M56" s="397">
        <f>((C56*F56*0.15*'Emission - Calc (Non-CO2)'!I57)+(C56*F56*0.65*'Emission - Calc (Non-CO2)'!S57)+(C56*F56*0.2*'Emission - Calc (Non-CO2)'!AC57))*(1/1101500)*365</f>
        <v>2.472678798002724E-2</v>
      </c>
      <c r="N56" s="347">
        <f>((C56*F56*0.15*'Emission - Calc (CO2)'!F56)+(C56*F56*0.65*'Emission - Calc (CO2)'!J56)+(C56*F56*0.15*'Emission - Calc (CO2)'!N56))*(1/1101500)*365</f>
        <v>426.82334543803859</v>
      </c>
      <c r="O56" s="336">
        <f>((C56*F56*1.60934*0.15*'Fuel Savings - Calc'!F57)+(C56*F56*1.60934*0.65*'Fuel Savings - Calc'!J57)+(C56*F56*1.60934*0.2*'Fuel Savings - Calc'!N57))*0.000264172*365</f>
        <v>80410.730983598929</v>
      </c>
    </row>
    <row r="57" spans="1:15" x14ac:dyDescent="0.25">
      <c r="A57" s="344">
        <v>594</v>
      </c>
      <c r="B57" s="89" t="s">
        <v>26</v>
      </c>
      <c r="C57" s="89">
        <v>16451</v>
      </c>
      <c r="D57" s="343">
        <v>5.0000000000000001E-3</v>
      </c>
      <c r="E57" s="343">
        <v>3.5999999999999997E-2</v>
      </c>
      <c r="F57" s="345">
        <v>0.6</v>
      </c>
      <c r="G57" s="346">
        <f>((C57*(1-(D57+E57))*'Travel Time - Calc'!F56*0.15*'Travel Time - Value'!$B$19)+(C57*(1-(D57+E57))*'Travel Time - Calc'!J56*0.65*'Travel Time - Value'!$B$19)+(C57*(1-(D57+E57))*'Travel Time - Calc'!H56*0.2*'Travel Time - Value'!$B$19))*(1/3600)*365</f>
        <v>104032.52001316904</v>
      </c>
      <c r="H57" s="342">
        <f>((C57*D57*'Travel Time - Calc'!F56*0.15)+(C57*D57*'Travel Time - Calc'!J56*0.65)+(C57*D57*'Travel Time - Calc'!H56*0.2))*(1/3600)*365</f>
        <v>390.21657756944438</v>
      </c>
      <c r="I57" s="347">
        <f>((C57*E57*'Travel Time - Calc'!F56*0.15*'Travel Time - Value'!$B$20)+(C57*E57*'Travel Time - Calc'!J56*0.65*'Travel Time - Value'!$B$20)+(C57*E57*'Travel Time - Calc'!H56*0.2*'Travel Time - Value'!$B$20))*(1/3600)*365</f>
        <v>2809.5593585000001</v>
      </c>
      <c r="J57" s="396">
        <f>((C57*F57*0.15*'Emission - Calc (Non-CO2)'!F58)+(C57*F57*0.65*'Emission - Calc (Non-CO2)'!P58)+(C57*F57*0.2*'Emission - Calc (Non-CO2)'!Z58))*(1/1101500)*365</f>
        <v>0.27194936768497502</v>
      </c>
      <c r="K57" s="397">
        <f>((C57*F57*0.15*'Emission - Calc (Non-CO2)'!G58)+(C57*F57*0.65*'Emission - Calc (Non-CO2)'!Q58)+(C57*F57*0.2*'Emission - Calc (Non-CO2)'!AA58))*(1/1101500)*365</f>
        <v>1.124348486241489</v>
      </c>
      <c r="L57" s="397">
        <f>((C57*F57*0.15*'Emission - Calc (Non-CO2)'!H58)+(C57*F57*0.65*'Emission - Calc (Non-CO2)'!R58)+(C57*F57*0.2*'Emission - Calc (Non-CO2)'!AB58))*(1/1000000)*365</f>
        <v>7.4717826290999998</v>
      </c>
      <c r="M57" s="397">
        <f>((C57*F57*0.15*'Emission - Calc (Non-CO2)'!I58)+(C57*F57*0.65*'Emission - Calc (Non-CO2)'!S58)+(C57*F57*0.2*'Emission - Calc (Non-CO2)'!AC58))*(1/1101500)*365</f>
        <v>5.3003060957784849E-2</v>
      </c>
      <c r="N57" s="347">
        <f>((C57*F57*0.15*'Emission - Calc (CO2)'!F57)+(C57*F57*0.65*'Emission - Calc (CO2)'!J57)+(C57*F57*0.15*'Emission - Calc (CO2)'!N57))*(1/1101500)*365</f>
        <v>1011.6944950635487</v>
      </c>
      <c r="O57" s="336">
        <f>((C57*F57*1.60934*0.15*'Fuel Savings - Calc'!F58)+(C57*F57*1.60934*0.65*'Fuel Savings - Calc'!J58)+(C57*F57*1.60934*0.2*'Fuel Savings - Calc'!N58))*0.000264172*365</f>
        <v>185525.64688305152</v>
      </c>
    </row>
    <row r="58" spans="1:15" x14ac:dyDescent="0.25">
      <c r="A58" s="344">
        <v>594</v>
      </c>
      <c r="B58" s="89" t="s">
        <v>27</v>
      </c>
      <c r="C58" s="89">
        <v>20089</v>
      </c>
      <c r="D58" s="343">
        <v>7.0000000000000001E-3</v>
      </c>
      <c r="E58" s="343">
        <v>0.03</v>
      </c>
      <c r="F58" s="345">
        <v>0.9</v>
      </c>
      <c r="G58" s="346">
        <f>((C58*(1-(D58+E58))*'Travel Time - Calc'!F57*0.15*'Travel Time - Value'!$B$19)+(C58*(1-(D58+E58))*'Travel Time - Calc'!J57*0.65*'Travel Time - Value'!$B$19)+(C58*(1-(D58+E58))*'Travel Time - Calc'!H57*0.2*'Travel Time - Value'!$B$19))*(1/3600)*365</f>
        <v>314626.70253342495</v>
      </c>
      <c r="H58" s="342">
        <f>((C58*D58*'Travel Time - Calc'!F57*0.15)+(C58*D58*'Travel Time - Calc'!J57*0.65)+(C58*D58*'Travel Time - Calc'!H57*0.2))*(1/3600)*365</f>
        <v>1645.3281619444447</v>
      </c>
      <c r="I58" s="347">
        <f>((C58*E58*'Travel Time - Calc'!F57*0.15*'Travel Time - Value'!$B$20)+(C58*E58*'Travel Time - Calc'!J57*0.65*'Travel Time - Value'!$B$20)+(C58*E58*'Travel Time - Calc'!H57*0.2*'Travel Time - Value'!$B$20))*(1/3600)*365</f>
        <v>7051.4064083333342</v>
      </c>
      <c r="J58" s="396">
        <f>((C58*F58*0.15*'Emission - Calc (Non-CO2)'!F59)+(C58*F58*0.65*'Emission - Calc (Non-CO2)'!P59)+(C58*F58*0.2*'Emission - Calc (Non-CO2)'!Z59))*(1/1101500)*365</f>
        <v>0.70755318261461664</v>
      </c>
      <c r="K58" s="397">
        <f>((C58*F58*0.15*'Emission - Calc (Non-CO2)'!G59)+(C58*F58*0.65*'Emission - Calc (Non-CO2)'!Q59)+(C58*F58*0.2*'Emission - Calc (Non-CO2)'!AA59))*(1/1101500)*365</f>
        <v>2.3056288467181121</v>
      </c>
      <c r="L58" s="397">
        <f>((C58*F58*0.15*'Emission - Calc (Non-CO2)'!H59)+(C58*F58*0.65*'Emission - Calc (Non-CO2)'!R59)+(C58*F58*0.2*'Emission - Calc (Non-CO2)'!AB59))*(1/1000000)*365</f>
        <v>16.069602824055004</v>
      </c>
      <c r="M58" s="397">
        <f>((C58*F58*0.15*'Emission - Calc (Non-CO2)'!I59)+(C58*F58*0.65*'Emission - Calc (Non-CO2)'!S59)+(C58*F58*0.2*'Emission - Calc (Non-CO2)'!AC59))*(1/1101500)*365</f>
        <v>0.13818555594416707</v>
      </c>
      <c r="N58" s="347">
        <f>((C58*F58*0.15*'Emission - Calc (CO2)'!F58)+(C58*F58*0.65*'Emission - Calc (CO2)'!J58)+(C58*F58*0.15*'Emission - Calc (CO2)'!N58))*(1/1101500)*365</f>
        <v>2175.5313246141618</v>
      </c>
      <c r="O58" s="336">
        <f>((C58*F58*1.60934*0.15*'Fuel Savings - Calc'!F59)+(C58*F58*1.60934*0.65*'Fuel Savings - Calc'!J59)+(C58*F58*1.60934*0.2*'Fuel Savings - Calc'!N59))*0.000264172*365</f>
        <v>408267.94430604461</v>
      </c>
    </row>
    <row r="59" spans="1:15" x14ac:dyDescent="0.25">
      <c r="A59" s="344">
        <v>722</v>
      </c>
      <c r="B59" s="89" t="s">
        <v>26</v>
      </c>
      <c r="C59" s="89">
        <v>39059</v>
      </c>
      <c r="D59" s="343">
        <v>2E-3</v>
      </c>
      <c r="E59" s="343">
        <v>6.3E-2</v>
      </c>
      <c r="F59" s="345">
        <v>0.7</v>
      </c>
      <c r="G59" s="346">
        <f>((C59*(1-(D59+E59))*'Travel Time - Calc'!F58*0.15*'Travel Time - Value'!$B$19)+(C59*(1-(D59+E59))*'Travel Time - Calc'!J58*0.65*'Travel Time - Value'!$B$19)+(C59*(1-(D59+E59))*'Travel Time - Calc'!H58*0.2*'Travel Time - Value'!$B$19))*(1/3600)*365</f>
        <v>391672.02353896527</v>
      </c>
      <c r="H59" s="342">
        <f>((C59*D59*'Travel Time - Calc'!F58*0.15)+(C59*D59*'Travel Time - Calc'!J58*0.65)+(C59*D59*'Travel Time - Calc'!H58*0.2))*(1/3600)*365</f>
        <v>602.73461861111105</v>
      </c>
      <c r="I59" s="347">
        <f>((C59*E59*'Travel Time - Calc'!F58*0.15*'Travel Time - Value'!$B$20)+(C59*E59*'Travel Time - Calc'!J58*0.65*'Travel Time - Value'!$B$20)+(C59*E59*'Travel Time - Calc'!H58*0.2*'Travel Time - Value'!$B$20))*(1/3600)*365</f>
        <v>18986.140486250002</v>
      </c>
      <c r="J59" s="396">
        <f>((C59*F59*0.15*'Emission - Calc (Non-CO2)'!F60)+(C59*F59*0.65*'Emission - Calc (Non-CO2)'!P60)+(C59*F59*0.2*'Emission - Calc (Non-CO2)'!Z60))*(1/1101500)*365</f>
        <v>0.96466200171357253</v>
      </c>
      <c r="K59" s="397">
        <f>((C59*F59*0.15*'Emission - Calc (Non-CO2)'!G60)+(C59*F59*0.65*'Emission - Calc (Non-CO2)'!Q60)+(C59*F59*0.2*'Emission - Calc (Non-CO2)'!AA60))*(1/1101500)*365</f>
        <v>3.2229540941965502</v>
      </c>
      <c r="L59" s="397">
        <f>((C59*F59*0.15*'Emission - Calc (Non-CO2)'!H60)+(C59*F59*0.65*'Emission - Calc (Non-CO2)'!R60)+(C59*F59*0.2*'Emission - Calc (Non-CO2)'!AB60))*(1/1000000)*365</f>
        <v>23.763512493017501</v>
      </c>
      <c r="M59" s="397">
        <f>((C59*F59*0.15*'Emission - Calc (Non-CO2)'!I60)+(C59*F59*0.65*'Emission - Calc (Non-CO2)'!S60)+(C59*F59*0.2*'Emission - Calc (Non-CO2)'!AC60))*(1/1101500)*365</f>
        <v>0.19596749562868818</v>
      </c>
      <c r="N59" s="347">
        <f>((C59*F59*0.15*'Emission - Calc (CO2)'!F59)+(C59*F59*0.65*'Emission - Calc (CO2)'!J59)+(C59*F59*0.15*'Emission - Calc (CO2)'!N59))*(1/1101500)*365</f>
        <v>2913.6914745347158</v>
      </c>
      <c r="O59" s="336">
        <f>((C59*F59*1.60934*0.15*'Fuel Savings - Calc'!F60)+(C59*F59*1.60934*0.65*'Fuel Savings - Calc'!J60)+(C59*F59*1.60934*0.2*'Fuel Savings - Calc'!N60))*0.000264172*365</f>
        <v>570064.44315456611</v>
      </c>
    </row>
    <row r="60" spans="1:15" x14ac:dyDescent="0.25">
      <c r="A60" s="344">
        <v>722</v>
      </c>
      <c r="B60" s="89" t="s">
        <v>27</v>
      </c>
      <c r="C60" s="89">
        <v>43514</v>
      </c>
      <c r="D60" s="343">
        <v>1E-3</v>
      </c>
      <c r="E60" s="343">
        <v>4.9500000000000002E-2</v>
      </c>
      <c r="F60" s="345">
        <v>0.1</v>
      </c>
      <c r="G60" s="346">
        <f>((C60*(1-(D60+E60))*'Travel Time - Calc'!F59*0.15*'Travel Time - Value'!$B$19)+(C60*(1-(D60+E60))*'Travel Time - Calc'!J59*0.65*'Travel Time - Value'!$B$19)+(C60*(1-(D60+E60))*'Travel Time - Calc'!H59*0.2*'Travel Time - Value'!$B$19))*(1/3600)*365</f>
        <v>86031.328623684356</v>
      </c>
      <c r="H60" s="342">
        <f>((C60*D60*'Travel Time - Calc'!F59*0.15)+(C60*D60*'Travel Time - Calc'!J59*0.65)+(C60*D60*'Travel Time - Calc'!H59*0.2))*(1/3600)*365</f>
        <v>65.184878541666677</v>
      </c>
      <c r="I60" s="347">
        <f>((C60*E60*'Travel Time - Calc'!F59*0.15*'Travel Time - Value'!$B$20)+(C60*E60*'Travel Time - Calc'!J59*0.65*'Travel Time - Value'!$B$20)+(C60*E60*'Travel Time - Calc'!H59*0.2*'Travel Time - Value'!$B$20))*(1/3600)*365</f>
        <v>3226.6514878125008</v>
      </c>
      <c r="J60" s="396">
        <f>((C60*F60*0.15*'Emission - Calc (Non-CO2)'!F61)+(C60*F60*0.65*'Emission - Calc (Non-CO2)'!P61)+(C60*F60*0.2*'Emission - Calc (Non-CO2)'!Z61))*(1/1101500)*365</f>
        <v>0.15189052541080347</v>
      </c>
      <c r="K60" s="397">
        <f>((C60*F60*0.15*'Emission - Calc (Non-CO2)'!G61)+(C60*F60*0.65*'Emission - Calc (Non-CO2)'!Q61)+(C60*F60*0.2*'Emission - Calc (Non-CO2)'!AA61))*(1/1101500)*365</f>
        <v>0.51413371172492062</v>
      </c>
      <c r="L60" s="397">
        <f>((C60*F60*0.15*'Emission - Calc (Non-CO2)'!H61)+(C60*F60*0.65*'Emission - Calc (Non-CO2)'!R61)+(C60*F60*0.2*'Emission - Calc (Non-CO2)'!AB61))*(1/1000000)*365</f>
        <v>3.7190957815150005</v>
      </c>
      <c r="M60" s="397">
        <f>((C60*F60*0.15*'Emission - Calc (Non-CO2)'!I61)+(C60*F60*0.65*'Emission - Calc (Non-CO2)'!S61)+(C60*F60*0.2*'Emission - Calc (Non-CO2)'!AC61))*(1/1101500)*365</f>
        <v>3.0885656486609167E-2</v>
      </c>
      <c r="N60" s="347">
        <f>((C60*F60*0.15*'Emission - Calc (CO2)'!F60)+(C60*F60*0.65*'Emission - Calc (CO2)'!J60)+(C60*F60*0.15*'Emission - Calc (CO2)'!N60))*(1/1101500)*365</f>
        <v>466.67332968679091</v>
      </c>
      <c r="O60" s="336">
        <f>((C60*F60*1.60934*0.15*'Fuel Savings - Calc'!F61)+(C60*F60*1.60934*0.65*'Fuel Savings - Calc'!J61)+(C60*F60*1.60934*0.2*'Fuel Savings - Calc'!N61))*0.000264172*365</f>
        <v>90552.088972071739</v>
      </c>
    </row>
    <row r="61" spans="1:15" x14ac:dyDescent="0.25">
      <c r="A61" s="344">
        <v>723</v>
      </c>
      <c r="B61" s="89" t="s">
        <v>26</v>
      </c>
      <c r="C61" s="89">
        <v>42416</v>
      </c>
      <c r="D61" s="343">
        <v>1E-3</v>
      </c>
      <c r="E61" s="343">
        <v>5.8000000000000003E-2</v>
      </c>
      <c r="F61" s="345">
        <v>0.2</v>
      </c>
      <c r="G61" s="346">
        <f>((C61*(1-(D61+E61))*'Travel Time - Calc'!F60*0.15*'Travel Time - Value'!$B$19)+(C61*(1-(D61+E61))*'Travel Time - Calc'!J60*0.65*'Travel Time - Value'!$B$19)+(C61*(1-(D61+E61))*'Travel Time - Calc'!H60*0.2*'Travel Time - Value'!$B$19))*(1/3600)*365</f>
        <v>90000.408451555544</v>
      </c>
      <c r="H61" s="342">
        <f>((C61*D61*'Travel Time - Calc'!F60*0.15)+(C61*D61*'Travel Time - Calc'!J60*0.65)+(C61*D61*'Travel Time - Calc'!H60*0.2))*(1/3600)*365</f>
        <v>68.808177777777786</v>
      </c>
      <c r="I61" s="347">
        <f>((C61*E61*'Travel Time - Calc'!F60*0.15*'Travel Time - Value'!$B$20)+(C61*E61*'Travel Time - Calc'!J60*0.65*'Travel Time - Value'!$B$20)+(C61*E61*'Travel Time - Calc'!H60*0.2*'Travel Time - Value'!$B$20))*(1/3600)*365</f>
        <v>3990.8743111111112</v>
      </c>
      <c r="J61" s="396">
        <f>((C61*F61*0.15*'Emission - Calc (Non-CO2)'!F62)+(C61*F61*0.65*'Emission - Calc (Non-CO2)'!P62)+(C61*F61*0.2*'Emission - Calc (Non-CO2)'!Z62))*(1/1101500)*365</f>
        <v>0.28720464689968228</v>
      </c>
      <c r="K61" s="397">
        <f>((C61*F61*0.15*'Emission - Calc (Non-CO2)'!G62)+(C61*F61*0.65*'Emission - Calc (Non-CO2)'!Q62)+(C61*F61*0.2*'Emission - Calc (Non-CO2)'!AA62))*(1/1101500)*365</f>
        <v>1.0022646650567408</v>
      </c>
      <c r="L61" s="397">
        <f>((C61*F61*0.15*'Emission - Calc (Non-CO2)'!H62)+(C61*F61*0.65*'Emission - Calc (Non-CO2)'!R62)+(C61*F61*0.2*'Emission - Calc (Non-CO2)'!AB62))*(1/1000000)*365</f>
        <v>7.0734049865599999</v>
      </c>
      <c r="M61" s="397">
        <f>((C61*F61*0.15*'Emission - Calc (Non-CO2)'!I62)+(C61*F61*0.65*'Emission - Calc (Non-CO2)'!S62)+(C61*F61*0.2*'Emission - Calc (Non-CO2)'!AC62))*(1/1101500)*365</f>
        <v>5.8287054453018614E-2</v>
      </c>
      <c r="N61" s="347">
        <f>((C61*F61*0.15*'Emission - Calc (CO2)'!F61)+(C61*F61*0.65*'Emission - Calc (CO2)'!J61)+(C61*F61*0.15*'Emission - Calc (CO2)'!N61))*(1/1101500)*365</f>
        <v>903.47042687244698</v>
      </c>
      <c r="O61" s="336">
        <f>((C61*F61*1.60934*0.15*'Fuel Savings - Calc'!F62)+(C61*F61*1.60934*0.65*'Fuel Savings - Calc'!J62)+(C61*F61*1.60934*0.2*'Fuel Savings - Calc'!N62))*0.000264172*365</f>
        <v>174582.07504672246</v>
      </c>
    </row>
    <row r="62" spans="1:15" x14ac:dyDescent="0.25">
      <c r="A62" s="344">
        <v>723</v>
      </c>
      <c r="B62" s="89" t="s">
        <v>27</v>
      </c>
      <c r="C62" s="89">
        <v>38607</v>
      </c>
      <c r="D62" s="343">
        <v>2E-3</v>
      </c>
      <c r="E62" s="343">
        <v>4.9000000000000002E-2</v>
      </c>
      <c r="F62" s="345">
        <v>0.7</v>
      </c>
      <c r="G62" s="346">
        <f>((C62*(1-(D62+E62))*'Travel Time - Calc'!F61*0.15*'Travel Time - Value'!$B$19)+(C62*(1-(D62+E62))*'Travel Time - Calc'!J61*0.65*'Travel Time - Value'!$B$19)+(C62*(1-(D62+E62))*'Travel Time - Calc'!H61*0.2*'Travel Time - Value'!$B$19))*(1/3600)*365</f>
        <v>433133.46610273729</v>
      </c>
      <c r="H62" s="342">
        <f>((C62*D62*'Travel Time - Calc'!F61*0.15)+(C62*D62*'Travel Time - Calc'!J61*0.65)+(C62*D62*'Travel Time - Calc'!H61*0.2))*(1/3600)*365</f>
        <v>656.70560620833328</v>
      </c>
      <c r="I62" s="347">
        <f>((C62*E62*'Travel Time - Calc'!F61*0.15*'Travel Time - Value'!$B$20)+(C62*E62*'Travel Time - Calc'!J61*0.65*'Travel Time - Value'!$B$20)+(C62*E62*'Travel Time - Calc'!H61*0.2*'Travel Time - Value'!$B$20))*(1/3600)*365</f>
        <v>16089.287352104167</v>
      </c>
      <c r="J62" s="396">
        <f>((C62*F62*0.15*'Emission - Calc (Non-CO2)'!F63)+(C62*F62*0.65*'Emission - Calc (Non-CO2)'!P63)+(C62*F62*0.2*'Emission - Calc (Non-CO2)'!Z63))*(1/1101500)*365</f>
        <v>1.0053937502451202</v>
      </c>
      <c r="K62" s="397">
        <f>((C62*F62*0.15*'Emission - Calc (Non-CO2)'!G63)+(C62*F62*0.65*'Emission - Calc (Non-CO2)'!Q63)+(C62*F62*0.2*'Emission - Calc (Non-CO2)'!AA63))*(1/1101500)*365</f>
        <v>3.2989398475465275</v>
      </c>
      <c r="L62" s="397">
        <f>((C62*F62*0.15*'Emission - Calc (Non-CO2)'!H63)+(C62*F62*0.65*'Emission - Calc (Non-CO2)'!R63)+(C62*F62*0.2*'Emission - Calc (Non-CO2)'!AB63))*(1/1000000)*365</f>
        <v>23.955037563134997</v>
      </c>
      <c r="M62" s="397">
        <f>((C62*F62*0.15*'Emission - Calc (Non-CO2)'!I63)+(C62*F62*0.65*'Emission - Calc (Non-CO2)'!S63)+(C62*F62*0.2*'Emission - Calc (Non-CO2)'!AC63))*(1/1101500)*365</f>
        <v>0.20189366793690419</v>
      </c>
      <c r="N62" s="347">
        <f>((C62*F62*0.15*'Emission - Calc (CO2)'!F62)+(C62*F62*0.65*'Emission - Calc (CO2)'!J62)+(C62*F62*0.15*'Emission - Calc (CO2)'!N62))*(1/1101500)*365</f>
        <v>3099.7103342430796</v>
      </c>
      <c r="O62" s="336">
        <f>((C62*F62*1.60934*0.15*'Fuel Savings - Calc'!F63)+(C62*F62*1.60934*0.65*'Fuel Savings - Calc'!J63)+(C62*F62*1.60934*0.2*'Fuel Savings - Calc'!N63))*0.000264172*365</f>
        <v>585511.52126988687</v>
      </c>
    </row>
    <row r="63" spans="1:15" x14ac:dyDescent="0.25">
      <c r="A63" s="344">
        <v>724</v>
      </c>
      <c r="B63" s="89" t="s">
        <v>26</v>
      </c>
      <c r="C63" s="89">
        <v>35067</v>
      </c>
      <c r="D63" s="343">
        <v>1E-3</v>
      </c>
      <c r="E63" s="343">
        <v>5.8000000000000003E-2</v>
      </c>
      <c r="F63" s="345">
        <v>0.7</v>
      </c>
      <c r="G63" s="346">
        <f>((C63*(1-(D63+E63))*'Travel Time - Calc'!F62*0.15*'Travel Time - Value'!$B$19)+(C63*(1-(D63+E63))*'Travel Time - Calc'!J62*0.65*'Travel Time - Value'!$B$19)+(C63*(1-(D63+E63))*'Travel Time - Calc'!H62*0.2*'Travel Time - Value'!$B$19))*(1/3600)*365</f>
        <v>340504.71128606919</v>
      </c>
      <c r="H63" s="342">
        <f>((C63*D63*'Travel Time - Calc'!F62*0.15)+(C63*D63*'Travel Time - Calc'!J62*0.65)+(C63*D63*'Travel Time - Calc'!H62*0.2))*(1/3600)*365</f>
        <v>260.32669308333334</v>
      </c>
      <c r="I63" s="347">
        <f>((C63*E63*'Travel Time - Calc'!F62*0.15*'Travel Time - Value'!$B$20)+(C63*E63*'Travel Time - Calc'!J62*0.65*'Travel Time - Value'!$B$20)+(C63*E63*'Travel Time - Calc'!H62*0.2*'Travel Time - Value'!$B$20))*(1/3600)*365</f>
        <v>15098.948198833337</v>
      </c>
      <c r="J63" s="396">
        <f>((C63*F63*0.15*'Emission - Calc (Non-CO2)'!F64)+(C63*F63*0.65*'Emission - Calc (Non-CO2)'!P64)+(C63*F63*0.2*'Emission - Calc (Non-CO2)'!Z64))*(1/1101500)*365</f>
        <v>0.83890172854970502</v>
      </c>
      <c r="K63" s="397">
        <f>((C63*F63*0.15*'Emission - Calc (Non-CO2)'!G64)+(C63*F63*0.65*'Emission - Calc (Non-CO2)'!Q64)+(C63*F63*0.2*'Emission - Calc (Non-CO2)'!AA64))*(1/1101500)*365</f>
        <v>2.9400400425102129</v>
      </c>
      <c r="L63" s="397">
        <f>((C63*F63*0.15*'Emission - Calc (Non-CO2)'!H64)+(C63*F63*0.65*'Emission - Calc (Non-CO2)'!R64)+(C63*F63*0.2*'Emission - Calc (Non-CO2)'!AB64))*(1/1000000)*365</f>
        <v>20.816464036252501</v>
      </c>
      <c r="M63" s="397">
        <f>((C63*F63*0.15*'Emission - Calc (Non-CO2)'!I64)+(C63*F63*0.65*'Emission - Calc (Non-CO2)'!S64)+(C63*F63*0.2*'Emission - Calc (Non-CO2)'!AC64))*(1/1101500)*365</f>
        <v>0.16935021077621426</v>
      </c>
      <c r="N63" s="347">
        <f>((C63*F63*0.15*'Emission - Calc (CO2)'!F63)+(C63*F63*0.65*'Emission - Calc (CO2)'!J63)+(C63*F63*0.15*'Emission - Calc (CO2)'!N63))*(1/1101500)*365</f>
        <v>2647.6221713572381</v>
      </c>
      <c r="O63" s="336">
        <f>((C63*F63*1.60934*0.15*'Fuel Savings - Calc'!F64)+(C63*F63*1.60934*0.65*'Fuel Savings - Calc'!J64)+(C63*F63*1.60934*0.2*'Fuel Savings - Calc'!N64))*0.000264172*365</f>
        <v>507786.62428370153</v>
      </c>
    </row>
    <row r="64" spans="1:15" x14ac:dyDescent="0.25">
      <c r="A64" s="344">
        <v>724</v>
      </c>
      <c r="B64" s="89" t="s">
        <v>27</v>
      </c>
      <c r="C64" s="89">
        <v>39336</v>
      </c>
      <c r="D64" s="343">
        <v>2E-3</v>
      </c>
      <c r="E64" s="343">
        <v>4.9000000000000002E-2</v>
      </c>
      <c r="F64" s="345">
        <v>0.2</v>
      </c>
      <c r="G64" s="346">
        <f>((C64*(1-(D64+E64))*'Travel Time - Calc'!F63*0.15*'Travel Time - Value'!$B$19)+(C64*(1-(D64+E64))*'Travel Time - Calc'!J63*0.65*'Travel Time - Value'!$B$19)+(C64*(1-(D64+E64))*'Travel Time - Calc'!H63*0.2*'Travel Time - Value'!$B$19))*(1/3600)*365</f>
        <v>67523.888592398333</v>
      </c>
      <c r="H64" s="342">
        <f>((C64*D64*'Travel Time - Calc'!F63*0.15)+(C64*D64*'Travel Time - Calc'!J63*0.65)+(C64*D64*'Travel Time - Calc'!H63*0.2))*(1/3600)*365</f>
        <v>102.37794966666667</v>
      </c>
      <c r="I64" s="347">
        <f>((C64*E64*'Travel Time - Calc'!F63*0.15*'Travel Time - Value'!$B$20)+(C64*E64*'Travel Time - Calc'!J63*0.65*'Travel Time - Value'!$B$20)+(C64*E64*'Travel Time - Calc'!H63*0.2*'Travel Time - Value'!$B$20))*(1/3600)*365</f>
        <v>2508.2597668333337</v>
      </c>
      <c r="J64" s="396">
        <f>((C64*F64*0.15*'Emission - Calc (Non-CO2)'!F65)+(C64*F64*0.65*'Emission - Calc (Non-CO2)'!P65)+(C64*F64*0.2*'Emission - Calc (Non-CO2)'!Z65))*(1/1101500)*365</f>
        <v>0.22912264722650935</v>
      </c>
      <c r="K64" s="397">
        <f>((C64*F64*0.15*'Emission - Calc (Non-CO2)'!G65)+(C64*F64*0.65*'Emission - Calc (Non-CO2)'!Q65)+(C64*F64*0.2*'Emission - Calc (Non-CO2)'!AA65))*(1/1101500)*365</f>
        <v>0.89679526975941903</v>
      </c>
      <c r="L64" s="397">
        <f>((C64*F64*0.15*'Emission - Calc (Non-CO2)'!H65)+(C64*F64*0.65*'Emission - Calc (Non-CO2)'!R65)+(C64*F64*0.2*'Emission - Calc (Non-CO2)'!AB65))*(1/1000000)*365</f>
        <v>6.0660741847199988</v>
      </c>
      <c r="M64" s="397">
        <f>((C64*F64*0.15*'Emission - Calc (Non-CO2)'!I65)+(C64*F64*0.65*'Emission - Calc (Non-CO2)'!S65)+(C64*F64*0.2*'Emission - Calc (Non-CO2)'!AC65))*(1/1101500)*365</f>
        <v>4.526925439854744E-2</v>
      </c>
      <c r="N64" s="347">
        <f>((C64*F64*0.15*'Emission - Calc (CO2)'!F64)+(C64*F64*0.65*'Emission - Calc (CO2)'!J64)+(C64*F64*0.15*'Emission - Calc (CO2)'!N64))*(1/1101500)*365</f>
        <v>809.18955170222409</v>
      </c>
      <c r="O64" s="336">
        <f>((C64*F64*1.60934*0.15*'Fuel Savings - Calc'!F65)+(C64*F64*1.60934*0.65*'Fuel Savings - Calc'!J65)+(C64*F64*1.60934*0.2*'Fuel Savings - Calc'!N65))*0.000264172*365</f>
        <v>151490.61008938481</v>
      </c>
    </row>
    <row r="65" spans="1:15" x14ac:dyDescent="0.25">
      <c r="A65" s="344">
        <v>725</v>
      </c>
      <c r="B65" s="89" t="s">
        <v>26</v>
      </c>
      <c r="C65" s="89">
        <v>36956</v>
      </c>
      <c r="D65" s="343">
        <v>1E-3</v>
      </c>
      <c r="E65" s="343">
        <v>6.2E-2</v>
      </c>
      <c r="F65" s="345">
        <v>0.1</v>
      </c>
      <c r="G65" s="346">
        <f>((C65*(1-(D65+E65))*'Travel Time - Calc'!F64*0.15*'Travel Time - Value'!$B$19)+(C65*(1-(D65+E65))*'Travel Time - Calc'!J64*0.65*'Travel Time - Value'!$B$19)+(C65*(1-(D65+E65))*'Travel Time - Calc'!H64*0.2*'Travel Time - Value'!$B$19))*(1/3600)*365</f>
        <v>91721.688981760832</v>
      </c>
      <c r="H65" s="342">
        <f>((C65*D65*'Travel Time - Calc'!F64*0.15)+(C65*D65*'Travel Time - Calc'!J64*0.65)+(C65*D65*'Travel Time - Calc'!H64*0.2))*(1/3600)*365</f>
        <v>70.423507583333347</v>
      </c>
      <c r="I65" s="347">
        <f>((C65*E65*'Travel Time - Calc'!F64*0.15*'Travel Time - Value'!$B$20)+(C65*E65*'Travel Time - Calc'!J64*0.65*'Travel Time - Value'!$B$20)+(C65*E65*'Travel Time - Calc'!H64*0.2*'Travel Time - Value'!$B$20))*(1/3600)*365</f>
        <v>4366.2574701666672</v>
      </c>
      <c r="J65" s="396">
        <f>((C65*F65*0.15*'Emission - Calc (Non-CO2)'!F66)+(C65*F65*0.65*'Emission - Calc (Non-CO2)'!P66)+(C65*F65*0.2*'Emission - Calc (Non-CO2)'!Z66))*(1/1101500)*365</f>
        <v>0.1419185888878802</v>
      </c>
      <c r="K65" s="397">
        <f>((C65*F65*0.15*'Emission - Calc (Non-CO2)'!G66)+(C65*F65*0.65*'Emission - Calc (Non-CO2)'!Q66)+(C65*F65*0.2*'Emission - Calc (Non-CO2)'!AA66))*(1/1101500)*365</f>
        <v>0.4571115822514753</v>
      </c>
      <c r="L65" s="397">
        <f>((C65*F65*0.15*'Emission - Calc (Non-CO2)'!H66)+(C65*F65*0.65*'Emission - Calc (Non-CO2)'!R66)+(C65*F65*0.2*'Emission - Calc (Non-CO2)'!AB66))*(1/1000000)*365</f>
        <v>3.3428830665599993</v>
      </c>
      <c r="M65" s="397">
        <f>((C65*F65*0.15*'Emission - Calc (Non-CO2)'!I66)+(C65*F65*0.65*'Emission - Calc (Non-CO2)'!S66)+(C65*F65*0.2*'Emission - Calc (Non-CO2)'!AC66))*(1/1101500)*365</f>
        <v>2.8563733590558332E-2</v>
      </c>
      <c r="N65" s="347">
        <f>((C65*F65*0.15*'Emission - Calc (CO2)'!F65)+(C65*F65*0.65*'Emission - Calc (CO2)'!J65)+(C65*F65*0.15*'Emission - Calc (CO2)'!N65))*(1/1101500)*365</f>
        <v>419.79197748524774</v>
      </c>
      <c r="O65" s="336">
        <f>((C65*F65*1.60934*0.15*'Fuel Savings - Calc'!F66)+(C65*F65*1.60934*0.65*'Fuel Savings - Calc'!J66)+(C65*F65*1.60934*0.2*'Fuel Savings - Calc'!N66))*0.000264172*365</f>
        <v>81248.862917418825</v>
      </c>
    </row>
    <row r="66" spans="1:15" x14ac:dyDescent="0.25">
      <c r="A66" s="344">
        <v>725</v>
      </c>
      <c r="B66" s="89" t="s">
        <v>27</v>
      </c>
      <c r="C66" s="89">
        <v>36706</v>
      </c>
      <c r="D66" s="343">
        <v>5.0000000000000001E-3</v>
      </c>
      <c r="E66" s="343">
        <v>4.5999999999999999E-2</v>
      </c>
      <c r="F66" s="345">
        <v>0.7</v>
      </c>
      <c r="G66" s="346">
        <f>((C66*(1-(D66+E66))*'Travel Time - Calc'!F65*0.15*'Travel Time - Value'!$B$19)+(C66*(1-(D66+E66))*'Travel Time - Calc'!J65*0.65*'Travel Time - Value'!$B$19)+(C66*(1-(D66+E66))*'Travel Time - Calc'!H65*0.2*'Travel Time - Value'!$B$19))*(1/3600)*365</f>
        <v>319219.0475846937</v>
      </c>
      <c r="H66" s="342">
        <f>((C66*D66*'Travel Time - Calc'!F65*0.15)+(C66*D66*'Travel Time - Calc'!J65*0.65)+(C66*D66*'Travel Time - Calc'!H65*0.2))*(1/3600)*365</f>
        <v>1209.9788781249999</v>
      </c>
      <c r="I66" s="347">
        <f>((C66*E66*'Travel Time - Calc'!F65*0.15*'Travel Time - Value'!$B$20)+(C66*E66*'Travel Time - Calc'!J65*0.65*'Travel Time - Value'!$B$20)+(C66*E66*'Travel Time - Calc'!H65*0.2*'Travel Time - Value'!$B$20))*(1/3600)*365</f>
        <v>11131.805678749999</v>
      </c>
      <c r="J66" s="396">
        <f>((C66*F66*0.15*'Emission - Calc (Non-CO2)'!F67)+(C66*F66*0.65*'Emission - Calc (Non-CO2)'!P67)+(C66*F66*0.2*'Emission - Calc (Non-CO2)'!Z67))*(1/1101500)*365</f>
        <v>0.8100828420653654</v>
      </c>
      <c r="K66" s="397">
        <f>((C66*F66*0.15*'Emission - Calc (Non-CO2)'!G67)+(C66*F66*0.65*'Emission - Calc (Non-CO2)'!Q67)+(C66*F66*0.2*'Emission - Calc (Non-CO2)'!AA67))*(1/1101500)*365</f>
        <v>2.9525516629505222</v>
      </c>
      <c r="L66" s="397">
        <f>((C66*F66*0.15*'Emission - Calc (Non-CO2)'!H67)+(C66*F66*0.65*'Emission - Calc (Non-CO2)'!R67)+(C66*F66*0.2*'Emission - Calc (Non-CO2)'!AB67))*(1/1000000)*365</f>
        <v>20.715910208699999</v>
      </c>
      <c r="M66" s="397">
        <f>((C66*F66*0.15*'Emission - Calc (Non-CO2)'!I67)+(C66*F66*0.65*'Emission - Calc (Non-CO2)'!S67)+(C66*F66*0.2*'Emission - Calc (Non-CO2)'!AC67))*(1/1101500)*365</f>
        <v>0.16176965683159325</v>
      </c>
      <c r="N66" s="347">
        <f>((C66*F66*0.15*'Emission - Calc (CO2)'!F66)+(C66*F66*0.65*'Emission - Calc (CO2)'!J66)+(C66*F66*0.15*'Emission - Calc (CO2)'!N66))*(1/1101500)*365</f>
        <v>2685.6955856218797</v>
      </c>
      <c r="O66" s="336">
        <f>((C66*F66*1.60934*0.15*'Fuel Savings - Calc'!F67)+(C66*F66*1.60934*0.65*'Fuel Savings - Calc'!J67)+(C66*F66*1.60934*0.2*'Fuel Savings - Calc'!N67))*0.000264172*365</f>
        <v>511574.80891549075</v>
      </c>
    </row>
    <row r="67" spans="1:15" x14ac:dyDescent="0.25">
      <c r="A67" s="344">
        <v>726</v>
      </c>
      <c r="B67" s="89" t="s">
        <v>26</v>
      </c>
      <c r="C67" s="89">
        <v>33868</v>
      </c>
      <c r="D67" s="343">
        <v>1E-3</v>
      </c>
      <c r="E67" s="343">
        <v>6.2E-2</v>
      </c>
      <c r="F67" s="345">
        <v>0.7</v>
      </c>
      <c r="G67" s="346">
        <f>((C67*(1-(D67+E67))*'Travel Time - Calc'!F66*0.15*'Travel Time - Value'!$B$19)+(C67*(1-(D67+E67))*'Travel Time - Calc'!J66*0.65*'Travel Time - Value'!$B$19)+(C67*(1-(D67+E67))*'Travel Time - Calc'!H66*0.2*'Travel Time - Value'!$B$19))*(1/3600)*365</f>
        <v>526304.35738765774</v>
      </c>
      <c r="H67" s="342">
        <f>((C67*D67*'Travel Time - Calc'!F66*0.15)+(C67*D67*'Travel Time - Calc'!J66*0.65)+(C67*D67*'Travel Time - Calc'!H66*0.2))*(1/3600)*365</f>
        <v>404.09416044444441</v>
      </c>
      <c r="I67" s="347">
        <f>((C67*E67*'Travel Time - Calc'!F66*0.15*'Travel Time - Value'!$B$20)+(C67*E67*'Travel Time - Calc'!J66*0.65*'Travel Time - Value'!$B$20)+(C67*E67*'Travel Time - Calc'!H66*0.2*'Travel Time - Value'!$B$20))*(1/3600)*365</f>
        <v>25053.837947555556</v>
      </c>
      <c r="J67" s="396">
        <f>((C67*F67*0.15*'Emission - Calc (Non-CO2)'!F68)+(C67*F67*0.65*'Emission - Calc (Non-CO2)'!P68)+(C67*F67*0.2*'Emission - Calc (Non-CO2)'!Z68))*(1/1101500)*365</f>
        <v>1.1051680311575123</v>
      </c>
      <c r="K67" s="397">
        <f>((C67*F67*0.15*'Emission - Calc (Non-CO2)'!G68)+(C67*F67*0.65*'Emission - Calc (Non-CO2)'!Q68)+(C67*F67*0.2*'Emission - Calc (Non-CO2)'!AA68))*(1/1101500)*365</f>
        <v>3.2325850675351795</v>
      </c>
      <c r="L67" s="397">
        <f>((C67*F67*0.15*'Emission - Calc (Non-CO2)'!H68)+(C67*F67*0.65*'Emission - Calc (Non-CO2)'!R68)+(C67*F67*0.2*'Emission - Calc (Non-CO2)'!AB68))*(1/1000000)*365</f>
        <v>22.594520475029999</v>
      </c>
      <c r="M67" s="397">
        <f>((C67*F67*0.15*'Emission - Calc (Non-CO2)'!I68)+(C67*F67*0.65*'Emission - Calc (Non-CO2)'!S68)+(C67*F67*0.2*'Emission - Calc (Non-CO2)'!AC68))*(1/1101500)*365</f>
        <v>0.21246281918293233</v>
      </c>
      <c r="N67" s="347">
        <f>((C67*F67*0.15*'Emission - Calc (CO2)'!F67)+(C67*F67*0.65*'Emission - Calc (CO2)'!J67)+(C67*F67*0.15*'Emission - Calc (CO2)'!N67))*(1/1101500)*365</f>
        <v>3098.6616099636831</v>
      </c>
      <c r="O67" s="336">
        <f>((C67*F67*1.60934*0.15*'Fuel Savings - Calc'!F68)+(C67*F67*1.60934*0.65*'Fuel Savings - Calc'!J68)+(C67*F67*1.60934*0.2*'Fuel Savings - Calc'!N68))*0.000264172*365</f>
        <v>584787.76320075418</v>
      </c>
    </row>
    <row r="68" spans="1:15" x14ac:dyDescent="0.25">
      <c r="A68" s="344">
        <v>726</v>
      </c>
      <c r="B68" s="89" t="s">
        <v>27</v>
      </c>
      <c r="C68" s="89">
        <v>38158</v>
      </c>
      <c r="D68" s="343">
        <v>5.0000000000000001E-3</v>
      </c>
      <c r="E68" s="343">
        <v>4.5999999999999999E-2</v>
      </c>
      <c r="F68" s="345">
        <v>0.2</v>
      </c>
      <c r="G68" s="346">
        <f>((C68*(1-(D68+E68))*'Travel Time - Calc'!F67*0.15*'Travel Time - Value'!$B$19)+(C68*(1-(D68+E68))*'Travel Time - Calc'!J67*0.65*'Travel Time - Value'!$B$19)+(C68*(1-(D68+E68))*'Travel Time - Calc'!H67*0.2*'Travel Time - Value'!$B$19))*(1/3600)*365</f>
        <v>73973.335159661525</v>
      </c>
      <c r="H68" s="342">
        <f>((C68*D68*'Travel Time - Calc'!F67*0.15)+(C68*D68*'Travel Time - Calc'!J67*0.65)+(C68*D68*'Travel Time - Calc'!H67*0.2))*(1/3600)*365</f>
        <v>280.39107868055555</v>
      </c>
      <c r="I68" s="347">
        <f>((C68*E68*'Travel Time - Calc'!F67*0.15*'Travel Time - Value'!$B$20)+(C68*E68*'Travel Time - Calc'!J67*0.65*'Travel Time - Value'!$B$20)+(C68*E68*'Travel Time - Calc'!H67*0.2*'Travel Time - Value'!$B$20))*(1/3600)*365</f>
        <v>2579.5979238611117</v>
      </c>
      <c r="J68" s="396">
        <f>((C68*F68*0.15*'Emission - Calc (Non-CO2)'!F69)+(C68*F68*0.65*'Emission - Calc (Non-CO2)'!P69)+(C68*F68*0.2*'Emission - Calc (Non-CO2)'!Z69))*(1/1101500)*365</f>
        <v>0.24890257280980482</v>
      </c>
      <c r="K68" s="397">
        <f>((C68*F68*0.15*'Emission - Calc (Non-CO2)'!G69)+(C68*F68*0.65*'Emission - Calc (Non-CO2)'!Q69)+(C68*F68*0.2*'Emission - Calc (Non-CO2)'!AA69))*(1/1101500)*365</f>
        <v>0.89132030289605091</v>
      </c>
      <c r="L68" s="397">
        <f>((C68*F68*0.15*'Emission - Calc (Non-CO2)'!H69)+(C68*F68*0.65*'Emission - Calc (Non-CO2)'!R69)+(C68*F68*0.2*'Emission - Calc (Non-CO2)'!AB69))*(1/1000000)*365</f>
        <v>6.2855156879899985</v>
      </c>
      <c r="M68" s="397">
        <f>((C68*F68*0.15*'Emission - Calc (Non-CO2)'!I69)+(C68*F68*0.65*'Emission - Calc (Non-CO2)'!S69)+(C68*F68*0.2*'Emission - Calc (Non-CO2)'!AC69))*(1/1101500)*365</f>
        <v>5.0286285601452561E-2</v>
      </c>
      <c r="N68" s="347">
        <f>((C68*F68*0.15*'Emission - Calc (CO2)'!F68)+(C68*F68*0.65*'Emission - Calc (CO2)'!J68)+(C68*F68*0.15*'Emission - Calc (CO2)'!N68))*(1/1101500)*365</f>
        <v>802.21609001361685</v>
      </c>
      <c r="O68" s="336">
        <f>((C68*F68*1.60934*0.15*'Fuel Savings - Calc'!F69)+(C68*F68*1.60934*0.65*'Fuel Savings - Calc'!J69)+(C68*F68*1.60934*0.2*'Fuel Savings - Calc'!N69))*0.000264172*365</f>
        <v>153938.19617032856</v>
      </c>
    </row>
    <row r="69" spans="1:15" x14ac:dyDescent="0.25">
      <c r="A69" s="344">
        <v>741</v>
      </c>
      <c r="B69" s="89" t="s">
        <v>26</v>
      </c>
      <c r="C69" s="89">
        <v>37776</v>
      </c>
      <c r="D69" s="343">
        <v>6.0000000000000001E-3</v>
      </c>
      <c r="E69" s="343">
        <v>4.3999999999999997E-2</v>
      </c>
      <c r="F69" s="345">
        <v>0.2</v>
      </c>
      <c r="G69" s="346">
        <f>((C69*(1-(D69+E69))*'Travel Time - Calc'!F68*0.15*'Travel Time - Value'!$B$19)+(C69*(1-(D69+E69))*'Travel Time - Calc'!J68*0.65*'Travel Time - Value'!$B$19)+(C69*(1-(D69+E69))*'Travel Time - Calc'!H68*0.2*'Travel Time - Value'!$B$19))*(1/3600)*365</f>
        <v>347710.20854166656</v>
      </c>
      <c r="H69" s="342">
        <f>((C69*D69*'Travel Time - Calc'!F68*0.15)+(C69*D69*'Travel Time - Calc'!J68*0.65)+(C69*D69*'Travel Time - Calc'!H68*0.2))*(1/3600)*365</f>
        <v>1579.9025000000004</v>
      </c>
      <c r="I69" s="347">
        <f>((C69*E69*'Travel Time - Calc'!F68*0.15*'Travel Time - Value'!$B$20)+(C69*E69*'Travel Time - Calc'!J68*0.65*'Travel Time - Value'!$B$20)+(C69*E69*'Travel Time - Calc'!H68*0.2*'Travel Time - Value'!$B$20))*(1/3600)*365</f>
        <v>11585.951666666666</v>
      </c>
      <c r="J69" s="396">
        <f>((C69*F69*0.15*'Emission - Calc (Non-CO2)'!F70)+(C69*F69*0.65*'Emission - Calc (Non-CO2)'!P70)+(C69*F69*0.2*'Emission - Calc (Non-CO2)'!Z70))*(1/1101500)*365</f>
        <v>0.2758148707762143</v>
      </c>
      <c r="K69" s="397">
        <f>((C69*F69*0.15*'Emission - Calc (Non-CO2)'!G70)+(C69*F69*0.65*'Emission - Calc (Non-CO2)'!Q70)+(C69*F69*0.2*'Emission - Calc (Non-CO2)'!AA70))*(1/1101500)*365</f>
        <v>0.92474464820699065</v>
      </c>
      <c r="L69" s="397">
        <f>((C69*F69*0.15*'Emission - Calc (Non-CO2)'!H70)+(C69*F69*0.65*'Emission - Calc (Non-CO2)'!R70)+(C69*F69*0.2*'Emission - Calc (Non-CO2)'!AB70))*(1/1000000)*365</f>
        <v>6.6292341213600006</v>
      </c>
      <c r="M69" s="397">
        <f>((C69*F69*0.15*'Emission - Calc (Non-CO2)'!I70)+(C69*F69*0.65*'Emission - Calc (Non-CO2)'!S70)+(C69*F69*0.2*'Emission - Calc (Non-CO2)'!AC70))*(1/1101500)*365</f>
        <v>5.5403313881071274E-2</v>
      </c>
      <c r="N69" s="347">
        <f>((C69*F69*0.15*'Emission - Calc (CO2)'!F69)+(C69*F69*0.65*'Emission - Calc (CO2)'!J69)+(C69*F69*0.15*'Emission - Calc (CO2)'!N69))*(1/1101500)*365</f>
        <v>844.03681579664021</v>
      </c>
      <c r="O69" s="336">
        <f>((C69*F69*1.60934*0.15*'Fuel Savings - Calc'!F70)+(C69*F69*1.60934*0.65*'Fuel Savings - Calc'!J70)+(C69*F69*1.60934*0.2*'Fuel Savings - Calc'!N70))*0.000264172*365</f>
        <v>161827.14030411045</v>
      </c>
    </row>
    <row r="70" spans="1:15" x14ac:dyDescent="0.25">
      <c r="A70" s="344">
        <v>741</v>
      </c>
      <c r="B70" s="89" t="s">
        <v>27</v>
      </c>
      <c r="C70" s="89">
        <v>35033</v>
      </c>
      <c r="D70" s="343">
        <v>6.0000000000000001E-3</v>
      </c>
      <c r="E70" s="343">
        <v>3.2000000000000001E-2</v>
      </c>
      <c r="F70" s="345">
        <v>0.2</v>
      </c>
      <c r="G70" s="346">
        <f>((C70*(1-(D70+E70))*'Travel Time - Calc'!F69*0.15*'Travel Time - Value'!$B$19)+(C70*(1-(D70+E70))*'Travel Time - Calc'!J69*0.65*'Travel Time - Value'!$B$19)+(C70*(1-(D70+E70))*'Travel Time - Calc'!H69*0.2*'Travel Time - Value'!$B$19))*(1/3600)*365</f>
        <v>717095.48171706602</v>
      </c>
      <c r="H70" s="342">
        <f>((C70*D70*'Travel Time - Calc'!F69*0.15)+(C70*D70*'Travel Time - Calc'!J69*0.65)+(C70*D70*'Travel Time - Calc'!H69*0.2))*(1/3600)*365</f>
        <v>3217.6467568333333</v>
      </c>
      <c r="I70" s="347">
        <f>((C70*E70*'Travel Time - Calc'!F69*0.15*'Travel Time - Value'!$B$20)+(C70*E70*'Travel Time - Calc'!J69*0.65*'Travel Time - Value'!$B$20)+(C70*E70*'Travel Time - Calc'!H69*0.2*'Travel Time - Value'!$B$20))*(1/3600)*365</f>
        <v>17160.782703111112</v>
      </c>
      <c r="J70" s="396">
        <f>((C70*F70*0.15*'Emission - Calc (Non-CO2)'!F71)+(C70*F70*0.65*'Emission - Calc (Non-CO2)'!P71)+(C70*F70*0.2*'Emission - Calc (Non-CO2)'!Z71))*(1/1101500)*365</f>
        <v>1.2568800382660008</v>
      </c>
      <c r="K70" s="397">
        <f>((C70*F70*0.15*'Emission - Calc (Non-CO2)'!G71)+(C70*F70*0.65*'Emission - Calc (Non-CO2)'!Q71)+(C70*F70*0.2*'Emission - Calc (Non-CO2)'!AA71))*(1/1101500)*365</f>
        <v>2.4094902279709491</v>
      </c>
      <c r="L70" s="397">
        <f>((C70*F70*0.15*'Emission - Calc (Non-CO2)'!H71)+(C70*F70*0.65*'Emission - Calc (Non-CO2)'!R71)+(C70*F70*0.2*'Emission - Calc (Non-CO2)'!AB71))*(1/1000000)*365</f>
        <v>16.087943944480003</v>
      </c>
      <c r="M70" s="397">
        <f>((C70*F70*0.15*'Emission - Calc (Non-CO2)'!I71)+(C70*F70*0.65*'Emission - Calc (Non-CO2)'!S71)+(C70*F70*0.2*'Emission - Calc (Non-CO2)'!AC71))*(1/1101500)*365</f>
        <v>0.22850675785746707</v>
      </c>
      <c r="N70" s="347">
        <f>((C70*F70*0.15*'Emission - Calc (CO2)'!F70)+(C70*F70*0.65*'Emission - Calc (CO2)'!J70)+(C70*F70*0.15*'Emission - Calc (CO2)'!N70))*(1/1101500)*365</f>
        <v>1104.7763096118922</v>
      </c>
      <c r="O70" s="336">
        <f>((C70*F70*1.60934*0.15*'Fuel Savings - Calc'!F71)+(C70*F70*1.60934*0.65*'Fuel Savings - Calc'!J71)+(C70*F70*1.60934*0.2*'Fuel Savings - Calc'!N71))*0.000264172*365</f>
        <v>324493.74341476685</v>
      </c>
    </row>
    <row r="71" spans="1:15" x14ac:dyDescent="0.25">
      <c r="A71" s="344">
        <v>782</v>
      </c>
      <c r="B71" s="89" t="s">
        <v>26</v>
      </c>
      <c r="C71" s="89">
        <v>42273</v>
      </c>
      <c r="D71" s="343">
        <v>3.0000000000000001E-3</v>
      </c>
      <c r="E71" s="343">
        <v>4.8000000000000001E-2</v>
      </c>
      <c r="F71" s="345">
        <v>0.4</v>
      </c>
      <c r="G71" s="346">
        <f>((C71*(1-(D71+E71))*'Travel Time - Calc'!F70*0.15*'Travel Time - Value'!$B$19)+(C71*(1-(D71+E71))*'Travel Time - Calc'!J70*0.65*'Travel Time - Value'!$B$19)+(C71*(1-(D71+E71))*'Travel Time - Calc'!H70*0.2*'Travel Time - Value'!$B$19))*(1/3600)*365</f>
        <v>237739.00795019369</v>
      </c>
      <c r="H71" s="342">
        <f>((C71*D71*'Travel Time - Calc'!F70*0.15)+(C71*D71*'Travel Time - Calc'!J70*0.65)+(C71*D71*'Travel Time - Calc'!H70*0.2))*(1/3600)*365</f>
        <v>540.68047687499995</v>
      </c>
      <c r="I71" s="347">
        <f>((C71*E71*'Travel Time - Calc'!F70*0.15*'Travel Time - Value'!$B$20)+(C71*E71*'Travel Time - Calc'!J70*0.65*'Travel Time - Value'!$B$20)+(C71*E71*'Travel Time - Calc'!H70*0.2*'Travel Time - Value'!$B$20))*(1/3600)*365</f>
        <v>8650.8876299999993</v>
      </c>
      <c r="J71" s="396">
        <f>((C71*F71*0.15*'Emission - Calc (Non-CO2)'!F72)+(C71*F71*0.65*'Emission - Calc (Non-CO2)'!P72)+(C71*F71*0.2*'Emission - Calc (Non-CO2)'!Z72))*(1/1101500)*365</f>
        <v>0.5941288815524286</v>
      </c>
      <c r="K71" s="397">
        <f>((C71*F71*0.15*'Emission - Calc (Non-CO2)'!G72)+(C71*F71*0.65*'Emission - Calc (Non-CO2)'!Q72)+(C71*F71*0.2*'Emission - Calc (Non-CO2)'!AA72))*(1/1101500)*365</f>
        <v>1.9878257491239224</v>
      </c>
      <c r="L71" s="397">
        <f>((C71*F71*0.15*'Emission - Calc (Non-CO2)'!H72)+(C71*F71*0.65*'Emission - Calc (Non-CO2)'!R72)+(C71*F71*0.2*'Emission - Calc (Non-CO2)'!AB72))*(1/1000000)*365</f>
        <v>14.662390472729999</v>
      </c>
      <c r="M71" s="397">
        <f>((C71*F71*0.15*'Emission - Calc (Non-CO2)'!I72)+(C71*F71*0.65*'Emission - Calc (Non-CO2)'!S72)+(C71*F71*0.2*'Emission - Calc (Non-CO2)'!AC72))*(1/1101500)*365</f>
        <v>0.12049551183840219</v>
      </c>
      <c r="N71" s="347">
        <f>((C71*F71*0.15*'Emission - Calc (CO2)'!F71)+(C71*F71*0.65*'Emission - Calc (CO2)'!J71)+(C71*F71*0.15*'Emission - Calc (CO2)'!N71))*(1/1101500)*365</f>
        <v>1797.4170659782101</v>
      </c>
      <c r="O71" s="336">
        <f>((C71*F71*1.60934*0.15*'Fuel Savings - Calc'!F72)+(C71*F71*1.60934*0.65*'Fuel Savings - Calc'!J72)+(C71*F71*1.60934*0.2*'Fuel Savings - Calc'!N72))*0.000264172*365</f>
        <v>352340.43257662177</v>
      </c>
    </row>
    <row r="72" spans="1:15" x14ac:dyDescent="0.25">
      <c r="A72" s="344">
        <v>782</v>
      </c>
      <c r="B72" s="89" t="s">
        <v>27</v>
      </c>
      <c r="C72" s="89">
        <v>43958</v>
      </c>
      <c r="D72" s="343">
        <v>2E-3</v>
      </c>
      <c r="E72" s="343">
        <v>4.8000000000000001E-2</v>
      </c>
      <c r="F72" s="345">
        <v>0.1</v>
      </c>
      <c r="G72" s="346">
        <f>((C72*(1-(D72+E72))*'Travel Time - Calc'!F71*0.15*'Travel Time - Value'!$B$19)+(C72*(1-(D72+E72))*'Travel Time - Calc'!J71*0.65*'Travel Time - Value'!$B$19)+(C72*(1-(D72+E72))*'Travel Time - Calc'!H71*0.2*'Travel Time - Value'!$B$19))*(1/3600)*365</f>
        <v>68063.194886187499</v>
      </c>
      <c r="H72" s="342">
        <f>((C72*D72*'Travel Time - Calc'!F71*0.15)+(C72*D72*'Travel Time - Calc'!J71*0.65)+(C72*D72*'Travel Time - Calc'!H71*0.2))*(1/3600)*365</f>
        <v>103.08700475000002</v>
      </c>
      <c r="I72" s="347">
        <f>((C72*E72*'Travel Time - Calc'!F71*0.15*'Travel Time - Value'!$B$20)+(C72*E72*'Travel Time - Calc'!J71*0.65*'Travel Time - Value'!$B$20)+(C72*E72*'Travel Time - Calc'!H71*0.2*'Travel Time - Value'!$B$20))*(1/3600)*365</f>
        <v>2474.0881140000001</v>
      </c>
      <c r="J72" s="396">
        <f>((C72*F72*0.15*'Emission - Calc (Non-CO2)'!F73)+(C72*F72*0.65*'Emission - Calc (Non-CO2)'!P73)+(C72*F72*0.2*'Emission - Calc (Non-CO2)'!Z73))*(1/1101500)*365</f>
        <v>0.14451855960508397</v>
      </c>
      <c r="K72" s="397">
        <f>((C72*F72*0.15*'Emission - Calc (Non-CO2)'!G73)+(C72*F72*0.65*'Emission - Calc (Non-CO2)'!Q73)+(C72*F72*0.2*'Emission - Calc (Non-CO2)'!AA73))*(1/1101500)*365</f>
        <v>0.50809092746709039</v>
      </c>
      <c r="L72" s="397">
        <f>((C72*F72*0.15*'Emission - Calc (Non-CO2)'!H73)+(C72*F72*0.65*'Emission - Calc (Non-CO2)'!R73)+(C72*F72*0.2*'Emission - Calc (Non-CO2)'!AB73))*(1/1000000)*365</f>
        <v>3.6450521976050005</v>
      </c>
      <c r="M72" s="397">
        <f>((C72*F72*0.15*'Emission - Calc (Non-CO2)'!I73)+(C72*F72*0.65*'Emission - Calc (Non-CO2)'!S73)+(C72*F72*0.2*'Emission - Calc (Non-CO2)'!AC73))*(1/1101500)*365</f>
        <v>2.9001305465274626E-2</v>
      </c>
      <c r="N72" s="347">
        <f>((C72*F72*0.15*'Emission - Calc (CO2)'!F72)+(C72*F72*0.65*'Emission - Calc (CO2)'!J72)+(C72*F72*0.15*'Emission - Calc (CO2)'!N72))*(1/1101500)*365</f>
        <v>462.02167640717232</v>
      </c>
      <c r="O72" s="336">
        <f>((C72*F72*1.60934*0.15*'Fuel Savings - Calc'!F73)+(C72*F72*1.60934*0.65*'Fuel Savings - Calc'!J73)+(C72*F72*1.60934*0.2*'Fuel Savings - Calc'!N73))*0.000264172*365</f>
        <v>88964.847605517018</v>
      </c>
    </row>
    <row r="73" spans="1:15" x14ac:dyDescent="0.25">
      <c r="A73" s="344">
        <v>783</v>
      </c>
      <c r="B73" s="89" t="s">
        <v>26</v>
      </c>
      <c r="C73" s="89">
        <v>48682</v>
      </c>
      <c r="D73" s="343">
        <v>4.0000000000000001E-3</v>
      </c>
      <c r="E73" s="343">
        <v>5.7000000000000002E-2</v>
      </c>
      <c r="F73" s="345">
        <v>0.1</v>
      </c>
      <c r="G73" s="346">
        <f>((C73*(1-(D73+E73))*'Travel Time - Calc'!F72*0.15*'Travel Time - Value'!$B$19)+(C73*(1-(D73+E73))*'Travel Time - Calc'!J72*0.65*'Travel Time - Value'!$B$19)+(C73*(1-(D73+E73))*'Travel Time - Calc'!H72*0.2*'Travel Time - Value'!$B$19))*(1/3600)*365</f>
        <v>83652.923292227919</v>
      </c>
      <c r="H73" s="342">
        <f>((C73*D73*'Travel Time - Calc'!F72*0.15)+(C73*D73*'Travel Time - Calc'!J72*0.65)+(C73*D73*'Travel Time - Calc'!H72*0.2))*(1/3600)*365</f>
        <v>256.36617338888891</v>
      </c>
      <c r="I73" s="347">
        <f>((C73*E73*'Travel Time - Calc'!F72*0.15*'Travel Time - Value'!$B$20)+(C73*E73*'Travel Time - Calc'!J72*0.65*'Travel Time - Value'!$B$20)+(C73*E73*'Travel Time - Calc'!H72*0.2*'Travel Time - Value'!$B$20))*(1/3600)*365</f>
        <v>3653.2179707916671</v>
      </c>
      <c r="J73" s="396">
        <f>((C73*F73*0.15*'Emission - Calc (Non-CO2)'!F74)+(C73*F73*0.65*'Emission - Calc (Non-CO2)'!P74)+(C73*F73*0.2*'Emission - Calc (Non-CO2)'!Z74))*(1/1101500)*365</f>
        <v>0.14766843869269175</v>
      </c>
      <c r="K73" s="397">
        <f>((C73*F73*0.15*'Emission - Calc (Non-CO2)'!G74)+(C73*F73*0.65*'Emission - Calc (Non-CO2)'!Q74)+(C73*F73*0.2*'Emission - Calc (Non-CO2)'!AA74))*(1/1101500)*365</f>
        <v>0.5573378547753064</v>
      </c>
      <c r="L73" s="397">
        <f>((C73*F73*0.15*'Emission - Calc (Non-CO2)'!H74)+(C73*F73*0.65*'Emission - Calc (Non-CO2)'!R74)+(C73*F73*0.2*'Emission - Calc (Non-CO2)'!AB74))*(1/1000000)*365</f>
        <v>3.8435617104400004</v>
      </c>
      <c r="M73" s="397">
        <f>((C73*F73*0.15*'Emission - Calc (Non-CO2)'!I74)+(C73*F73*0.65*'Emission - Calc (Non-CO2)'!S74)+(C73*F73*0.2*'Emission - Calc (Non-CO2)'!AC74))*(1/1101500)*365</f>
        <v>2.9327203576940537E-2</v>
      </c>
      <c r="N73" s="347">
        <f>((C73*F73*0.15*'Emission - Calc (CO2)'!F73)+(C73*F73*0.65*'Emission - Calc (CO2)'!J73)+(C73*F73*0.15*'Emission - Calc (CO2)'!N73))*(1/1101500)*365</f>
        <v>504.0713937131174</v>
      </c>
      <c r="O73" s="336">
        <f>((C73*F73*1.60934*0.15*'Fuel Savings - Calc'!F74)+(C73*F73*1.60934*0.65*'Fuel Savings - Calc'!J74)+(C73*F73*1.60934*0.2*'Fuel Savings - Calc'!N74))*0.000264172*365</f>
        <v>95263.395685763215</v>
      </c>
    </row>
    <row r="74" spans="1:15" x14ac:dyDescent="0.25">
      <c r="A74" s="344">
        <v>783</v>
      </c>
      <c r="B74" s="89" t="s">
        <v>27</v>
      </c>
      <c r="C74" s="89">
        <v>41835</v>
      </c>
      <c r="D74" s="343">
        <v>3.0000000000000001E-3</v>
      </c>
      <c r="E74" s="343">
        <v>0.05</v>
      </c>
      <c r="F74" s="345">
        <v>0.4</v>
      </c>
      <c r="G74" s="346">
        <f>((C74*(1-(D74+E74))*'Travel Time - Calc'!F73*0.15*'Travel Time - Value'!$B$19)+(C74*(1-(D74+E74))*'Travel Time - Calc'!J73*0.65*'Travel Time - Value'!$B$19)+(C74*(1-(D74+E74))*'Travel Time - Calc'!H73*0.2*'Travel Time - Value'!$B$19))*(1/3600)*365</f>
        <v>198599.78840803541</v>
      </c>
      <c r="H74" s="342">
        <f>((C74*D74*'Travel Time - Calc'!F73*0.15)+(C74*D74*'Travel Time - Calc'!J73*0.65)+(C74*D74*'Travel Time - Calc'!H73*0.2))*(1/3600)*365</f>
        <v>452.62158062499998</v>
      </c>
      <c r="I74" s="347">
        <f>((C74*E74*'Travel Time - Calc'!F73*0.15*'Travel Time - Value'!$B$20)+(C74*E74*'Travel Time - Calc'!J73*0.65*'Travel Time - Value'!$B$20)+(C74*E74*'Travel Time - Calc'!H73*0.2*'Travel Time - Value'!$B$20))*(1/3600)*365</f>
        <v>7543.6930104166659</v>
      </c>
      <c r="J74" s="396">
        <f>((C74*F74*0.15*'Emission - Calc (Non-CO2)'!F75)+(C74*F74*0.65*'Emission - Calc (Non-CO2)'!P75)+(C74*F74*0.2*'Emission - Calc (Non-CO2)'!Z75))*(1/1101500)*365</f>
        <v>0.56595899605083977</v>
      </c>
      <c r="K74" s="397">
        <f>((C74*F74*0.15*'Emission - Calc (Non-CO2)'!G75)+(C74*F74*0.65*'Emission - Calc (Non-CO2)'!Q75)+(C74*F74*0.2*'Emission - Calc (Non-CO2)'!AA75))*(1/1101500)*365</f>
        <v>1.983587440036314</v>
      </c>
      <c r="L74" s="397">
        <f>((C74*F74*0.15*'Emission - Calc (Non-CO2)'!H75)+(C74*F74*0.65*'Emission - Calc (Non-CO2)'!R75)+(C74*F74*0.2*'Emission - Calc (Non-CO2)'!AB75))*(1/1000000)*365</f>
        <v>13.999971050549998</v>
      </c>
      <c r="M74" s="397">
        <f>((C74*F74*0.15*'Emission - Calc (Non-CO2)'!I75)+(C74*F74*0.65*'Emission - Calc (Non-CO2)'!S75)+(C74*F74*0.2*'Emission - Calc (Non-CO2)'!AC75))*(1/1101500)*365</f>
        <v>0.1147000620517476</v>
      </c>
      <c r="N74" s="347">
        <f>((C74*F74*0.15*'Emission - Calc (CO2)'!F74)+(C74*F74*0.65*'Emission - Calc (CO2)'!J74)+(C74*F74*0.15*'Emission - Calc (CO2)'!N74))*(1/1101500)*365</f>
        <v>1783.9921423059445</v>
      </c>
      <c r="O74" s="336">
        <f>((C74*F74*1.60934*0.15*'Fuel Savings - Calc'!F75)+(C74*F74*1.60934*0.65*'Fuel Savings - Calc'!J75)+(C74*F74*1.60934*0.2*'Fuel Savings - Calc'!N75))*0.000264172*365</f>
        <v>343854.53371817531</v>
      </c>
    </row>
    <row r="75" spans="1:15" x14ac:dyDescent="0.25">
      <c r="A75" s="344">
        <v>786</v>
      </c>
      <c r="B75" s="89" t="s">
        <v>26</v>
      </c>
      <c r="C75" s="89">
        <v>17037</v>
      </c>
      <c r="D75" s="343">
        <v>2E-3</v>
      </c>
      <c r="E75" s="343">
        <v>1.7000000000000001E-2</v>
      </c>
      <c r="F75" s="345">
        <v>0.1</v>
      </c>
      <c r="G75" s="346">
        <f>((C75*(1-(D75+E75))*'Travel Time - Calc'!F74*0.15*'Travel Time - Value'!$B$19)+(C75*(1-(D75+E75))*'Travel Time - Calc'!J74*0.65*'Travel Time - Value'!$B$19)+(C75*(1-(D75+E75))*'Travel Time - Calc'!H74*0.2*'Travel Time - Value'!$B$19))*(1/3600)*365</f>
        <v>51218.482461249368</v>
      </c>
      <c r="H75" s="342">
        <f>((C75*D75*'Travel Time - Calc'!F74*0.15)+(C75*D75*'Travel Time - Calc'!J74*0.65)+(C75*D75*'Travel Time - Calc'!H74*0.2))*(1/3600)*365</f>
        <v>75.122995125000003</v>
      </c>
      <c r="I75" s="347">
        <f>((C75*E75*'Travel Time - Calc'!F74*0.15*'Travel Time - Value'!$B$20)+(C75*E75*'Travel Time - Calc'!J74*0.65*'Travel Time - Value'!$B$20)+(C75*E75*'Travel Time - Calc'!H74*0.2*'Travel Time - Value'!$B$20))*(1/3600)*365</f>
        <v>638.54545856250013</v>
      </c>
      <c r="J75" s="396">
        <f>((C75*F75*0.15*'Emission - Calc (Non-CO2)'!F76)+(C75*F75*0.65*'Emission - Calc (Non-CO2)'!P76)+(C75*F75*0.2*'Emission - Calc (Non-CO2)'!Z76))*(1/1101500)*365</f>
        <v>0.14706778438719925</v>
      </c>
      <c r="K75" s="397">
        <f>((C75*F75*0.15*'Emission - Calc (Non-CO2)'!G76)+(C75*F75*0.65*'Emission - Calc (Non-CO2)'!Q76)+(C75*F75*0.2*'Emission - Calc (Non-CO2)'!AA76))*(1/1101500)*365</f>
        <v>0.31965881989105766</v>
      </c>
      <c r="L75" s="397">
        <f>((C75*F75*0.15*'Emission - Calc (Non-CO2)'!H76)+(C75*F75*0.65*'Emission - Calc (Non-CO2)'!R76)+(C75*F75*0.2*'Emission - Calc (Non-CO2)'!AB76))*(1/1000000)*365</f>
        <v>2.4429894372900001</v>
      </c>
      <c r="M75" s="397">
        <f>((C75*F75*0.15*'Emission - Calc (Non-CO2)'!I76)+(C75*F75*0.65*'Emission - Calc (Non-CO2)'!S76)+(C75*F75*0.2*'Emission - Calc (Non-CO2)'!AC76))*(1/1101500)*365</f>
        <v>2.8458904861552427E-2</v>
      </c>
      <c r="N75" s="347">
        <f>((C75*F75*0.15*'Emission - Calc (CO2)'!F75)+(C75*F75*0.65*'Emission - Calc (CO2)'!J75)+(C75*F75*0.15*'Emission - Calc (CO2)'!N75))*(1/1101500)*365</f>
        <v>354.21908587721299</v>
      </c>
      <c r="O75" s="336">
        <f>((C75*F75*1.60934*0.15*'Fuel Savings - Calc'!F76)+(C75*F75*1.60934*0.65*'Fuel Savings - Calc'!J76)+(C75*F75*1.60934*0.2*'Fuel Savings - Calc'!N76))*0.000264172*365</f>
        <v>63953.481680241784</v>
      </c>
    </row>
    <row r="76" spans="1:15" x14ac:dyDescent="0.25">
      <c r="A76" s="344">
        <v>786</v>
      </c>
      <c r="B76" s="89" t="s">
        <v>27</v>
      </c>
      <c r="C76" s="89">
        <v>14202</v>
      </c>
      <c r="D76" s="343">
        <v>2E-3</v>
      </c>
      <c r="E76" s="343">
        <v>2.3E-2</v>
      </c>
      <c r="F76" s="345">
        <v>0.1</v>
      </c>
      <c r="G76" s="346">
        <f>((C76*(1-(D76+E76))*'Travel Time - Calc'!F75*0.15*'Travel Time - Value'!$B$19)+(C76*(1-(D76+E76))*'Travel Time - Calc'!J75*0.65*'Travel Time - Value'!$B$19)+(C76*(1-(D76+E76))*'Travel Time - Calc'!H75*0.2*'Travel Time - Value'!$B$19))*(1/3600)*365</f>
        <v>17875.35854325</v>
      </c>
      <c r="H76" s="342">
        <f>((C76*D76*'Travel Time - Calc'!F75*0.15)+(C76*D76*'Travel Time - Calc'!J75*0.65)+(C76*D76*'Travel Time - Calc'!H75*0.2))*(1/3600)*365</f>
        <v>26.379426000000006</v>
      </c>
      <c r="I76" s="347">
        <f>((C76*E76*'Travel Time - Calc'!F75*0.15*'Travel Time - Value'!$B$20)+(C76*E76*'Travel Time - Calc'!J75*0.65*'Travel Time - Value'!$B$20)+(C76*E76*'Travel Time - Calc'!H75*0.2*'Travel Time - Value'!$B$20))*(1/3600)*365</f>
        <v>303.36339900000002</v>
      </c>
      <c r="J76" s="396">
        <f>((C76*F76*0.15*'Emission - Calc (Non-CO2)'!F77)+(C76*F76*0.65*'Emission - Calc (Non-CO2)'!P77)+(C76*F76*0.2*'Emission - Calc (Non-CO2)'!Z77))*(1/1101500)*365</f>
        <v>4.0792166718111672E-2</v>
      </c>
      <c r="K76" s="397">
        <f>((C76*F76*0.15*'Emission - Calc (Non-CO2)'!G77)+(C76*F76*0.65*'Emission - Calc (Non-CO2)'!Q77)+(C76*F76*0.2*'Emission - Calc (Non-CO2)'!AA77))*(1/1101500)*365</f>
        <v>0.16166743231048572</v>
      </c>
      <c r="L76" s="397">
        <f>((C76*F76*0.15*'Emission - Calc (Non-CO2)'!H77)+(C76*F76*0.65*'Emission - Calc (Non-CO2)'!R77)+(C76*F76*0.2*'Emission - Calc (Non-CO2)'!AB77))*(1/1000000)*365</f>
        <v>1.0866082988699999</v>
      </c>
      <c r="M76" s="397">
        <f>((C76*F76*0.15*'Emission - Calc (Non-CO2)'!I77)+(C76*F76*0.65*'Emission - Calc (Non-CO2)'!S77)+(C76*F76*0.2*'Emission - Calc (Non-CO2)'!AC77))*(1/1101500)*365</f>
        <v>8.0497232546527468E-3</v>
      </c>
      <c r="N76" s="347">
        <f>((C76*F76*0.15*'Emission - Calc (CO2)'!F76)+(C76*F76*0.65*'Emission - Calc (CO2)'!J76)+(C76*F76*0.15*'Emission - Calc (CO2)'!N76))*(1/1101500)*365</f>
        <v>145.74093366999537</v>
      </c>
      <c r="O76" s="336">
        <f>((C76*F76*1.60934*0.15*'Fuel Savings - Calc'!F77)+(C76*F76*1.60934*0.65*'Fuel Savings - Calc'!J77)+(C76*F76*1.60934*0.2*'Fuel Savings - Calc'!N77))*0.000264172*365</f>
        <v>27196.720691379862</v>
      </c>
    </row>
    <row r="77" spans="1:15" x14ac:dyDescent="0.25">
      <c r="A77" s="344">
        <v>832</v>
      </c>
      <c r="B77" s="89" t="s">
        <v>26</v>
      </c>
      <c r="C77" s="89">
        <v>16451</v>
      </c>
      <c r="D77" s="343">
        <v>2E-3</v>
      </c>
      <c r="E77" s="343">
        <v>1.7000000000000001E-2</v>
      </c>
      <c r="F77" s="345">
        <v>0.9</v>
      </c>
      <c r="G77" s="346">
        <f>((C77*(1-(D77+E77))*'Travel Time - Calc'!F76*0.15*'Travel Time - Value'!$B$19)+(C77*(1-(D77+E77))*'Travel Time - Calc'!J76*0.65*'Travel Time - Value'!$B$19)+(C77*(1-(D77+E77))*'Travel Time - Calc'!H76*0.2*'Travel Time - Value'!$B$19))*(1/3600)*365</f>
        <v>155875.87012544434</v>
      </c>
      <c r="H77" s="342">
        <f>((C77*D77*'Travel Time - Calc'!F76*0.15)+(C77*D77*'Travel Time - Calc'!J76*0.65)+(C77*D77*'Travel Time - Calc'!H76*0.2))*(1/3600)*365</f>
        <v>228.62571612500003</v>
      </c>
      <c r="I77" s="347">
        <f>((C77*E77*'Travel Time - Calc'!F76*0.15*'Travel Time - Value'!$B$20)+(C77*E77*'Travel Time - Calc'!J76*0.65*'Travel Time - Value'!$B$20)+(C77*E77*'Travel Time - Calc'!H76*0.2*'Travel Time - Value'!$B$20))*(1/3600)*365</f>
        <v>1943.3185870625002</v>
      </c>
      <c r="J77" s="396">
        <f>((C77*F77*0.15*'Emission - Calc (Non-CO2)'!F78)+(C77*F77*0.65*'Emission - Calc (Non-CO2)'!P78)+(C77*F77*0.2*'Emission - Calc (Non-CO2)'!Z78))*(1/1101500)*365</f>
        <v>0.40456332057194733</v>
      </c>
      <c r="K77" s="397">
        <f>((C77*F77*0.15*'Emission - Calc (Non-CO2)'!G78)+(C77*F77*0.65*'Emission - Calc (Non-CO2)'!Q78)+(C77*F77*0.2*'Emission - Calc (Non-CO2)'!AA78))*(1/1101500)*365</f>
        <v>1.6887305088220608</v>
      </c>
      <c r="L77" s="397">
        <f>((C77*F77*0.15*'Emission - Calc (Non-CO2)'!H78)+(C77*F77*0.65*'Emission - Calc (Non-CO2)'!R78)+(C77*F77*0.2*'Emission - Calc (Non-CO2)'!AB78))*(1/1000000)*365</f>
        <v>11.220697953585001</v>
      </c>
      <c r="M77" s="397">
        <f>((C77*F77*0.15*'Emission - Calc (Non-CO2)'!I78)+(C77*F77*0.65*'Emission - Calc (Non-CO2)'!S78)+(C77*F77*0.2*'Emission - Calc (Non-CO2)'!AC78))*(1/1101500)*365</f>
        <v>7.8204454643667723E-2</v>
      </c>
      <c r="N77" s="347">
        <f>((C77*F77*0.15*'Emission - Calc (CO2)'!F77)+(C77*F77*0.65*'Emission - Calc (CO2)'!J77)+(C77*F77*0.15*'Emission - Calc (CO2)'!N77))*(1/1101500)*365</f>
        <v>1519.3815588118473</v>
      </c>
      <c r="O77" s="336">
        <f>((C77*F77*1.60934*0.15*'Fuel Savings - Calc'!F78)+(C77*F77*1.60934*0.65*'Fuel Savings - Calc'!J78)+(C77*F77*1.60934*0.2*'Fuel Savings - Calc'!N78))*0.000264172*365</f>
        <v>277363.9615384303</v>
      </c>
    </row>
    <row r="78" spans="1:15" x14ac:dyDescent="0.25">
      <c r="A78" s="344">
        <v>832</v>
      </c>
      <c r="B78" s="89" t="s">
        <v>27</v>
      </c>
      <c r="C78" s="89">
        <v>15451</v>
      </c>
      <c r="D78" s="343">
        <v>5.0000000000000001E-3</v>
      </c>
      <c r="E78" s="343">
        <v>3.3000000000000002E-2</v>
      </c>
      <c r="F78" s="345">
        <v>0.1</v>
      </c>
      <c r="G78" s="346">
        <f>((C78*(1-(D78+E78))*'Travel Time - Calc'!F77*0.15*'Travel Time - Value'!$B$19)+(C78*(1-(D78+E78))*'Travel Time - Calc'!J77*0.65*'Travel Time - Value'!$B$19)+(C78*(1-(D78+E78))*'Travel Time - Calc'!H77*0.2*'Travel Time - Value'!$B$19))*(1/3600)*365</f>
        <v>25640.01331138</v>
      </c>
      <c r="H78" s="342">
        <f>((C78*D78*'Travel Time - Calc'!F77*0.15)+(C78*D78*'Travel Time - Calc'!J77*0.65)+(C78*D78*'Travel Time - Calc'!H77*0.2))*(1/3600)*365</f>
        <v>95.873454999999993</v>
      </c>
      <c r="I78" s="347">
        <f>((C78*E78*'Travel Time - Calc'!F77*0.15*'Travel Time - Value'!$B$20)+(C78*E78*'Travel Time - Calc'!J77*0.65*'Travel Time - Value'!$B$20)+(C78*E78*'Travel Time - Calc'!H77*0.2*'Travel Time - Value'!$B$20))*(1/3600)*365</f>
        <v>632.76480300000003</v>
      </c>
      <c r="J78" s="396">
        <f>((C78*F78*0.15*'Emission - Calc (Non-CO2)'!F79)+(C78*F78*0.65*'Emission - Calc (Non-CO2)'!P79)+(C78*F78*0.2*'Emission - Calc (Non-CO2)'!Z79))*(1/1101500)*365</f>
        <v>8.6299165349523393E-2</v>
      </c>
      <c r="K78" s="397">
        <f>((C78*F78*0.15*'Emission - Calc (Non-CO2)'!G79)+(C78*F78*0.65*'Emission - Calc (Non-CO2)'!Q79)+(C78*F78*0.2*'Emission - Calc (Non-CO2)'!AA79))*(1/1101500)*365</f>
        <v>0.22780921435996368</v>
      </c>
      <c r="L78" s="397">
        <f>((C78*F78*0.15*'Emission - Calc (Non-CO2)'!H79)+(C78*F78*0.65*'Emission - Calc (Non-CO2)'!R79)+(C78*F78*0.2*'Emission - Calc (Non-CO2)'!AB79))*(1/1000000)*365</f>
        <v>1.8042510090675001</v>
      </c>
      <c r="M78" s="397">
        <f>((C78*F78*0.15*'Emission - Calc (Non-CO2)'!I79)+(C78*F78*0.65*'Emission - Calc (Non-CO2)'!S79)+(C78*F78*0.2*'Emission - Calc (Non-CO2)'!AC79))*(1/1101500)*365</f>
        <v>1.7878833935542446E-2</v>
      </c>
      <c r="N78" s="347">
        <f>((C78*F78*0.15*'Emission - Calc (CO2)'!F78)+(C78*F78*0.65*'Emission - Calc (CO2)'!J78)+(C78*F78*0.15*'Emission - Calc (CO2)'!N78))*(1/1101500)*365</f>
        <v>217.14949721970058</v>
      </c>
      <c r="O78" s="336">
        <f>((C78*F78*1.60934*0.15*'Fuel Savings - Calc'!F79)+(C78*F78*1.60934*0.65*'Fuel Savings - Calc'!J79)+(C78*F78*1.60934*0.2*'Fuel Savings - Calc'!N79))*0.000264172*365</f>
        <v>41813.24748735661</v>
      </c>
    </row>
    <row r="79" spans="1:15" x14ac:dyDescent="0.25">
      <c r="A79" s="344">
        <v>922</v>
      </c>
      <c r="B79" s="89" t="s">
        <v>26</v>
      </c>
      <c r="C79" s="89">
        <v>44086</v>
      </c>
      <c r="D79" s="343">
        <v>3.0000000000000001E-3</v>
      </c>
      <c r="E79" s="343">
        <v>4.8000000000000001E-2</v>
      </c>
      <c r="F79" s="345">
        <v>0.3</v>
      </c>
      <c r="G79" s="346">
        <f>((C79*(1-(D79+E79))*'Travel Time - Calc'!F78*0.15*'Travel Time - Value'!$B$19)+(C79*(1-(D79+E79))*'Travel Time - Calc'!J78*0.65*'Travel Time - Value'!$B$19)+(C79*(1-(D79+E79))*'Travel Time - Calc'!H78*0.2*'Travel Time - Value'!$B$19))*(1/3600)*365</f>
        <v>140064.18786421933</v>
      </c>
      <c r="H79" s="342">
        <f>((C79*D79*'Travel Time - Calc'!F78*0.15)+(C79*D79*'Travel Time - Calc'!J78*0.65)+(C79*D79*'Travel Time - Calc'!H78*0.2))*(1/3600)*365</f>
        <v>318.54247454166671</v>
      </c>
      <c r="I79" s="347">
        <f>((C79*E79*'Travel Time - Calc'!F78*0.15*'Travel Time - Value'!$B$20)+(C79*E79*'Travel Time - Calc'!J78*0.65*'Travel Time - Value'!$B$20)+(C79*E79*'Travel Time - Calc'!H78*0.2*'Travel Time - Value'!$B$20))*(1/3600)*365</f>
        <v>5096.6795926666673</v>
      </c>
      <c r="J79" s="396">
        <f>((C79*F79*0.15*'Emission - Calc (Non-CO2)'!F80)+(C79*F79*0.65*'Emission - Calc (Non-CO2)'!P80)+(C79*F79*0.2*'Emission - Calc (Non-CO2)'!Z80))*(1/1101500)*365</f>
        <v>0.41415425011348161</v>
      </c>
      <c r="K79" s="397">
        <f>((C79*F79*0.15*'Emission - Calc (Non-CO2)'!G80)+(C79*F79*0.65*'Emission - Calc (Non-CO2)'!Q80)+(C79*F79*0.2*'Emission - Calc (Non-CO2)'!AA80))*(1/1101500)*365</f>
        <v>1.5317790764911485</v>
      </c>
      <c r="L79" s="397">
        <f>((C79*F79*0.15*'Emission - Calc (Non-CO2)'!H80)+(C79*F79*0.65*'Emission - Calc (Non-CO2)'!R80)+(C79*F79*0.2*'Emission - Calc (Non-CO2)'!AB80))*(1/1000000)*365</f>
        <v>10.654905842805</v>
      </c>
      <c r="M79" s="397">
        <f>((C79*F79*0.15*'Emission - Calc (Non-CO2)'!I80)+(C79*F79*0.65*'Emission - Calc (Non-CO2)'!S80)+(C79*F79*0.2*'Emission - Calc (Non-CO2)'!AC80))*(1/1101500)*365</f>
        <v>8.3049979255560596E-2</v>
      </c>
      <c r="N79" s="347">
        <f>((C79*F79*0.15*'Emission - Calc (CO2)'!F79)+(C79*F79*0.65*'Emission - Calc (CO2)'!J79)+(C79*F79*0.15*'Emission - Calc (CO2)'!N79))*(1/1101500)*365</f>
        <v>1378.4324393327263</v>
      </c>
      <c r="O79" s="336">
        <f>((C79*F79*1.60934*0.15*'Fuel Savings - Calc'!F80)+(C79*F79*1.60934*0.65*'Fuel Savings - Calc'!J80)+(C79*F79*1.60934*0.2*'Fuel Savings - Calc'!N80))*0.000264172*365</f>
        <v>262090.90681916859</v>
      </c>
    </row>
    <row r="80" spans="1:15" x14ac:dyDescent="0.25">
      <c r="A80" s="344">
        <v>922</v>
      </c>
      <c r="B80" s="89" t="s">
        <v>27</v>
      </c>
      <c r="C80" s="89">
        <v>42484</v>
      </c>
      <c r="D80" s="343">
        <v>2E-3</v>
      </c>
      <c r="E80" s="343">
        <v>4.8000000000000001E-2</v>
      </c>
      <c r="F80" s="345">
        <v>0.1</v>
      </c>
      <c r="G80" s="346">
        <f>((C80*(1-(D80+E80))*'Travel Time - Calc'!F79*0.15*'Travel Time - Value'!$B$19)+(C80*(1-(D80+E80))*'Travel Time - Calc'!J79*0.65*'Travel Time - Value'!$B$19)+(C80*(1-(D80+E80))*'Travel Time - Calc'!H79*0.2*'Travel Time - Value'!$B$19))*(1/3600)*365</f>
        <v>56111.419941236105</v>
      </c>
      <c r="H80" s="342">
        <f>((C80*D80*'Travel Time - Calc'!F79*0.15)+(C80*D80*'Travel Time - Calc'!J79*0.65)+(C80*D80*'Travel Time - Calc'!H79*0.2))*(1/3600)*365</f>
        <v>84.985111611111108</v>
      </c>
      <c r="I80" s="347">
        <f>((C80*E80*'Travel Time - Calc'!F79*0.15*'Travel Time - Value'!$B$20)+(C80*E80*'Travel Time - Calc'!J79*0.65*'Travel Time - Value'!$B$20)+(C80*E80*'Travel Time - Calc'!H79*0.2*'Travel Time - Value'!$B$20))*(1/3600)*365</f>
        <v>2039.6426786666664</v>
      </c>
      <c r="J80" s="396">
        <f>((C80*F80*0.15*'Emission - Calc (Non-CO2)'!F81)+(C80*F80*0.65*'Emission - Calc (Non-CO2)'!P81)+(C80*F80*0.2*'Emission - Calc (Non-CO2)'!Z81))*(1/1101500)*365</f>
        <v>0.14210097688606449</v>
      </c>
      <c r="K80" s="397">
        <f>((C80*F80*0.15*'Emission - Calc (Non-CO2)'!G81)+(C80*F80*0.65*'Emission - Calc (Non-CO2)'!Q81)+(C80*F80*0.2*'Emission - Calc (Non-CO2)'!AA81))*(1/1101500)*365</f>
        <v>0.49676215290059023</v>
      </c>
      <c r="L80" s="397">
        <f>((C80*F80*0.15*'Emission - Calc (Non-CO2)'!H81)+(C80*F80*0.65*'Emission - Calc (Non-CO2)'!R81)+(C80*F80*0.2*'Emission - Calc (Non-CO2)'!AB81))*(1/1000000)*365</f>
        <v>3.5610346890300004</v>
      </c>
      <c r="M80" s="397">
        <f>((C80*F80*0.15*'Emission - Calc (Non-CO2)'!I81)+(C80*F80*0.65*'Emission - Calc (Non-CO2)'!S81)+(C80*F80*0.2*'Emission - Calc (Non-CO2)'!AC81))*(1/1101500)*365</f>
        <v>2.8753838447571501E-2</v>
      </c>
      <c r="N80" s="347">
        <f>((C80*F80*0.15*'Emission - Calc (CO2)'!F80)+(C80*F80*0.65*'Emission - Calc (CO2)'!J80)+(C80*F80*0.15*'Emission - Calc (CO2)'!N80))*(1/1101500)*365</f>
        <v>448.27128556513867</v>
      </c>
      <c r="O80" s="336">
        <f>((C80*F80*1.60934*0.15*'Fuel Savings - Calc'!F81)+(C80*F80*1.60934*0.65*'Fuel Savings - Calc'!J81)+(C80*F80*1.60934*0.2*'Fuel Savings - Calc'!N81))*0.000264172*365</f>
        <v>86591.579560720274</v>
      </c>
    </row>
    <row r="81" spans="1:15" x14ac:dyDescent="0.25">
      <c r="A81" s="344">
        <v>923</v>
      </c>
      <c r="B81" s="89" t="s">
        <v>26</v>
      </c>
      <c r="C81" s="89">
        <v>44086</v>
      </c>
      <c r="D81" s="343">
        <v>3.0000000000000001E-3</v>
      </c>
      <c r="E81" s="343">
        <v>4.8000000000000001E-2</v>
      </c>
      <c r="F81" s="345">
        <v>0.1</v>
      </c>
      <c r="G81" s="346">
        <f>((C81*(1-(D81+E81))*'Travel Time - Calc'!F80*0.15*'Travel Time - Value'!$B$19)+(C81*(1-(D81+E81))*'Travel Time - Calc'!J80*0.65*'Travel Time - Value'!$B$19)+(C81*(1-(D81+E81))*'Travel Time - Calc'!H80*0.2*'Travel Time - Value'!$B$19))*(1/3600)*365</f>
        <v>55866.477794715967</v>
      </c>
      <c r="H81" s="342">
        <f>((C81*D81*'Travel Time - Calc'!F80*0.15)+(C81*D81*'Travel Time - Calc'!J80*0.65)+(C81*D81*'Travel Time - Calc'!H80*0.2))*(1/3600)*365</f>
        <v>127.05493354166668</v>
      </c>
      <c r="I81" s="347">
        <f>((C81*E81*'Travel Time - Calc'!F80*0.15*'Travel Time - Value'!$B$20)+(C81*E81*'Travel Time - Calc'!J80*0.65*'Travel Time - Value'!$B$20)+(C81*E81*'Travel Time - Calc'!H80*0.2*'Travel Time - Value'!$B$20))*(1/3600)*365</f>
        <v>2032.878936666667</v>
      </c>
      <c r="J81" s="396">
        <f>((C81*F81*0.15*'Emission - Calc (Non-CO2)'!F82)+(C81*F81*0.65*'Emission - Calc (Non-CO2)'!P82)+(C81*F81*0.2*'Emission - Calc (Non-CO2)'!Z82))*(1/1101500)*365</f>
        <v>0.13641525176577396</v>
      </c>
      <c r="K81" s="397">
        <f>((C81*F81*0.15*'Emission - Calc (Non-CO2)'!G82)+(C81*F81*0.65*'Emission - Calc (Non-CO2)'!Q82)+(C81*F81*0.2*'Emission - Calc (Non-CO2)'!AA82))*(1/1101500)*365</f>
        <v>0.5067509596141625</v>
      </c>
      <c r="L81" s="397">
        <f>((C81*F81*0.15*'Emission - Calc (Non-CO2)'!H82)+(C81*F81*0.65*'Emission - Calc (Non-CO2)'!R82)+(C81*F81*0.2*'Emission - Calc (Non-CO2)'!AB82))*(1/1000000)*365</f>
        <v>3.52179379818</v>
      </c>
      <c r="M81" s="397">
        <f>((C81*F81*0.15*'Emission - Calc (Non-CO2)'!I82)+(C81*F81*0.65*'Emission - Calc (Non-CO2)'!S82)+(C81*F81*0.2*'Emission - Calc (Non-CO2)'!AC82))*(1/1101500)*365</f>
        <v>2.7201242106218791E-2</v>
      </c>
      <c r="N81" s="347">
        <f>((C81*F81*0.15*'Emission - Calc (CO2)'!F81)+(C81*F81*0.65*'Emission - Calc (CO2)'!J81)+(C81*F81*0.15*'Emission - Calc (CO2)'!N81))*(1/1101500)*365</f>
        <v>458.21748668860545</v>
      </c>
      <c r="O81" s="336">
        <f>((C81*F81*1.60934*0.15*'Fuel Savings - Calc'!F82)+(C81*F81*1.60934*0.65*'Fuel Savings - Calc'!J82)+(C81*F81*1.60934*0.2*'Fuel Savings - Calc'!N82))*0.000264172*365</f>
        <v>86968.191272707947</v>
      </c>
    </row>
    <row r="82" spans="1:15" x14ac:dyDescent="0.25">
      <c r="A82" s="344">
        <v>923</v>
      </c>
      <c r="B82" s="89" t="s">
        <v>27</v>
      </c>
      <c r="C82" s="89">
        <v>42484</v>
      </c>
      <c r="D82" s="343">
        <v>2E-3</v>
      </c>
      <c r="E82" s="343">
        <v>4.8000000000000001E-2</v>
      </c>
      <c r="F82" s="345">
        <v>0.4</v>
      </c>
      <c r="G82" s="346">
        <f>((C82*(1-(D82+E82))*'Travel Time - Calc'!F81*0.15*'Travel Time - Value'!$B$19)+(C82*(1-(D82+E82))*'Travel Time - Calc'!J81*0.65*'Travel Time - Value'!$B$19)+(C82*(1-(D82+E82))*'Travel Time - Calc'!H81*0.2*'Travel Time - Value'!$B$19))*(1/3600)*365</f>
        <v>203940.69558976387</v>
      </c>
      <c r="H82" s="342">
        <f>((C82*D82*'Travel Time - Calc'!F81*0.15)+(C82*D82*'Travel Time - Calc'!J81*0.65)+(C82*D82*'Travel Time - Calc'!H81*0.2))*(1/3600)*365</f>
        <v>308.8840523888889</v>
      </c>
      <c r="I82" s="347">
        <f>((C82*E82*'Travel Time - Calc'!F81*0.15*'Travel Time - Value'!$B$20)+(C82*E82*'Travel Time - Calc'!J81*0.65*'Travel Time - Value'!$B$20)+(C82*E82*'Travel Time - Calc'!H81*0.2*'Travel Time - Value'!$B$20))*(1/3600)*365</f>
        <v>7413.2172573333337</v>
      </c>
      <c r="J82" s="396">
        <f>((C82*F82*0.15*'Emission - Calc (Non-CO2)'!F83)+(C82*F82*0.65*'Emission - Calc (Non-CO2)'!P83)+(C82*F82*0.2*'Emission - Calc (Non-CO2)'!Z83))*(1/1101500)*365</f>
        <v>0.52752207310031773</v>
      </c>
      <c r="K82" s="397">
        <f>((C82*F82*0.15*'Emission - Calc (Non-CO2)'!G83)+(C82*F82*0.65*'Emission - Calc (Non-CO2)'!Q83)+(C82*F82*0.2*'Emission - Calc (Non-CO2)'!AA83))*(1/1101500)*365</f>
        <v>1.9701552915842038</v>
      </c>
      <c r="L82" s="397">
        <f>((C82*F82*0.15*'Emission - Calc (Non-CO2)'!H83)+(C82*F82*0.65*'Emission - Calc (Non-CO2)'!R83)+(C82*F82*0.2*'Emission - Calc (Non-CO2)'!AB83))*(1/1000000)*365</f>
        <v>13.622817903240001</v>
      </c>
      <c r="M82" s="397">
        <f>((C82*F82*0.15*'Emission - Calc (Non-CO2)'!I83)+(C82*F82*0.65*'Emission - Calc (Non-CO2)'!S83)+(C82*F82*0.2*'Emission - Calc (Non-CO2)'!AC83))*(1/1101500)*365</f>
        <v>0.10589296098048116</v>
      </c>
      <c r="N82" s="347">
        <f>((C82*F82*0.15*'Emission - Calc (CO2)'!F82)+(C82*F82*0.65*'Emission - Calc (CO2)'!J82)+(C82*F82*0.15*'Emission - Calc (CO2)'!N82))*(1/1101500)*365</f>
        <v>1766.4077743985429</v>
      </c>
      <c r="O82" s="336">
        <f>((C82*F82*1.60934*0.15*'Fuel Savings - Calc'!F83)+(C82*F82*1.60934*0.65*'Fuel Savings - Calc'!J83)+(C82*F82*1.60934*0.2*'Fuel Savings - Calc'!N83))*0.000264172*365</f>
        <v>335592.34904580261</v>
      </c>
    </row>
    <row r="83" spans="1:15" x14ac:dyDescent="0.25">
      <c r="A83" s="344">
        <v>977</v>
      </c>
      <c r="B83" s="89" t="s">
        <v>26</v>
      </c>
      <c r="C83" s="89">
        <v>48127</v>
      </c>
      <c r="D83" s="343">
        <v>2E-3</v>
      </c>
      <c r="E83" s="343">
        <v>4.2000000000000003E-2</v>
      </c>
      <c r="F83" s="345">
        <v>0.1</v>
      </c>
      <c r="G83" s="346">
        <f>((C83*(1-(D83+E83))*'Travel Time - Calc'!F82*0.15*'Travel Time - Value'!$B$19)+(C83*(1-(D83+E83))*'Travel Time - Calc'!J82*0.65*'Travel Time - Value'!$B$19)+(C83*(1-(D83+E83))*'Travel Time - Calc'!H82*0.2*'Travel Time - Value'!$B$19))*(1/3600)*365</f>
        <v>349981.02437315136</v>
      </c>
      <c r="H83" s="342">
        <f>((C83*D83*'Travel Time - Calc'!F82*0.15)+(C83*D83*'Travel Time - Calc'!J82*0.65)+(C83*D83*'Travel Time - Calc'!H82*0.2))*(1/3600)*365</f>
        <v>526.74667284722227</v>
      </c>
      <c r="I83" s="347">
        <f>((C83*E83*'Travel Time - Calc'!F82*0.15*'Travel Time - Value'!$B$20)+(C83*E83*'Travel Time - Calc'!J82*0.65*'Travel Time - Value'!$B$20)+(C83*E83*'Travel Time - Calc'!H82*0.2*'Travel Time - Value'!$B$20))*(1/3600)*365</f>
        <v>11061.680129791668</v>
      </c>
      <c r="J83" s="396">
        <f>((C83*F83*0.15*'Emission - Calc (Non-CO2)'!F84)+(C83*F83*0.65*'Emission - Calc (Non-CO2)'!P84)+(C83*F83*0.2*'Emission - Calc (Non-CO2)'!Z84))*(1/1101500)*365</f>
        <v>0.64735566530867006</v>
      </c>
      <c r="K83" s="397">
        <f>((C83*F83*0.15*'Emission - Calc (Non-CO2)'!G84)+(C83*F83*0.65*'Emission - Calc (Non-CO2)'!Q84)+(C83*F83*0.2*'Emission - Calc (Non-CO2)'!AA84))*(1/1101500)*365</f>
        <v>1.2189918085655922</v>
      </c>
      <c r="L83" s="397">
        <f>((C83*F83*0.15*'Emission - Calc (Non-CO2)'!H84)+(C83*F83*0.65*'Emission - Calc (Non-CO2)'!R84)+(C83*F83*0.2*'Emission - Calc (Non-CO2)'!AB84))*(1/1000000)*365</f>
        <v>8.6133811125699999</v>
      </c>
      <c r="M83" s="397">
        <f>((C83*F83*0.15*'Emission - Calc (Non-CO2)'!I84)+(C83*F83*0.65*'Emission - Calc (Non-CO2)'!S84)+(C83*F83*0.2*'Emission - Calc (Non-CO2)'!AC84))*(1/1101500)*365</f>
        <v>0.11845926912392192</v>
      </c>
      <c r="N83" s="347">
        <f>((C83*F83*0.15*'Emission - Calc (CO2)'!F83)+(C83*F83*0.65*'Emission - Calc (CO2)'!J83)+(C83*F83*0.15*'Emission - Calc (CO2)'!N83))*(1/1101500)*365</f>
        <v>1355.7111561960962</v>
      </c>
      <c r="O83" s="336">
        <f>((C83*F83*1.60934*0.15*'Fuel Savings - Calc'!F84)+(C83*F83*1.60934*0.65*'Fuel Savings - Calc'!J84)+(C83*F83*1.60934*0.2*'Fuel Savings - Calc'!N84))*0.000264172*365</f>
        <v>249577.3847183676</v>
      </c>
    </row>
    <row r="84" spans="1:15" x14ac:dyDescent="0.25">
      <c r="A84" s="344">
        <v>977</v>
      </c>
      <c r="B84" s="89" t="s">
        <v>27</v>
      </c>
      <c r="C84" s="89">
        <v>46715</v>
      </c>
      <c r="D84" s="343">
        <v>2E-3</v>
      </c>
      <c r="E84" s="343">
        <v>4.2000000000000003E-2</v>
      </c>
      <c r="F84" s="345">
        <v>0.2</v>
      </c>
      <c r="G84" s="346">
        <f>((C84*(1-(D84+E84))*'Travel Time - Calc'!F83*0.15*'Travel Time - Value'!$B$19)+(C84*(1-(D84+E84))*'Travel Time - Calc'!J83*0.65*'Travel Time - Value'!$B$19)+(C84*(1-(D84+E84))*'Travel Time - Calc'!H83*0.2*'Travel Time - Value'!$B$19))*(1/3600)*365</f>
        <v>117129.36330266386</v>
      </c>
      <c r="H84" s="342">
        <f>((C84*D84*'Travel Time - Calc'!F83*0.15)+(C84*D84*'Travel Time - Calc'!J83*0.65)+(C84*D84*'Travel Time - Calc'!H83*0.2))*(1/3600)*365</f>
        <v>176.28813597222225</v>
      </c>
      <c r="I84" s="347">
        <f>((C84*E84*'Travel Time - Calc'!F83*0.15*'Travel Time - Value'!$B$20)+(C84*E84*'Travel Time - Calc'!J83*0.65*'Travel Time - Value'!$B$20)+(C84*E84*'Travel Time - Calc'!H83*0.2*'Travel Time - Value'!$B$20))*(1/3600)*365</f>
        <v>3702.0508554166672</v>
      </c>
      <c r="J84" s="396">
        <f>((C84*F84*0.15*'Emission - Calc (Non-CO2)'!F85)+(C84*F84*0.65*'Emission - Calc (Non-CO2)'!P85)+(C84*F84*0.2*'Emission - Calc (Non-CO2)'!Z85))*(1/1101500)*365</f>
        <v>0.30417762936904219</v>
      </c>
      <c r="K84" s="397">
        <f>((C84*F84*0.15*'Emission - Calc (Non-CO2)'!G85)+(C84*F84*0.65*'Emission - Calc (Non-CO2)'!Q85)+(C84*F84*0.2*'Emission - Calc (Non-CO2)'!AA85))*(1/1101500)*365</f>
        <v>1.0894977053563322</v>
      </c>
      <c r="L84" s="397">
        <f>((C84*F84*0.15*'Emission - Calc (Non-CO2)'!H85)+(C84*F84*0.65*'Emission - Calc (Non-CO2)'!R85)+(C84*F84*0.2*'Emission - Calc (Non-CO2)'!AB85))*(1/1000000)*365</f>
        <v>7.7054890612749993</v>
      </c>
      <c r="M84" s="397">
        <f>((C84*F84*0.15*'Emission - Calc (Non-CO2)'!I85)+(C84*F84*0.65*'Emission - Calc (Non-CO2)'!S85)+(C84*F84*0.2*'Emission - Calc (Non-CO2)'!AC85))*(1/1101500)*365</f>
        <v>6.1377318088969589E-2</v>
      </c>
      <c r="N84" s="347">
        <f>((C84*F84*0.15*'Emission - Calc (CO2)'!F84)+(C84*F84*0.65*'Emission - Calc (CO2)'!J84)+(C84*F84*0.15*'Emission - Calc (CO2)'!N84))*(1/1101500)*365</f>
        <v>981.53399665229051</v>
      </c>
      <c r="O84" s="336">
        <f>((C84*F84*1.60934*0.15*'Fuel Savings - Calc'!F85)+(C84*F84*1.60934*0.65*'Fuel Savings - Calc'!J85)+(C84*F84*1.60934*0.2*'Fuel Savings - Calc'!N85))*0.000264172*365</f>
        <v>188150.82839093983</v>
      </c>
    </row>
    <row r="85" spans="1:15" x14ac:dyDescent="0.25">
      <c r="A85" s="344">
        <v>978</v>
      </c>
      <c r="B85" s="89" t="s">
        <v>26</v>
      </c>
      <c r="C85" s="89">
        <v>2156</v>
      </c>
      <c r="D85" s="343">
        <v>2E-3</v>
      </c>
      <c r="E85" s="343">
        <v>4.2000000000000003E-2</v>
      </c>
      <c r="F85" s="345">
        <v>0.2</v>
      </c>
      <c r="G85" s="346">
        <f>((C85*(1-(D85+E85))*'Travel Time - Calc'!F84*0.15*'Travel Time - Value'!$B$19)+(C85*(1-(D85+E85))*'Travel Time - Calc'!J84*0.65*'Travel Time - Value'!$B$19)+(C85*(1-(D85+E85))*'Travel Time - Calc'!H84*0.2*'Travel Time - Value'!$B$19))*(1/3600)*365</f>
        <v>36197.796533445551</v>
      </c>
      <c r="H85" s="342">
        <f>((C85*D85*'Travel Time - Calc'!F84*0.15)+(C85*D85*'Travel Time - Calc'!J84*0.65)+(C85*D85*'Travel Time - Calc'!H84*0.2))*(1/3600)*365</f>
        <v>54.480293388888889</v>
      </c>
      <c r="I85" s="347">
        <f>((C85*E85*'Travel Time - Calc'!F84*0.15*'Travel Time - Value'!$B$20)+(C85*E85*'Travel Time - Calc'!J84*0.65*'Travel Time - Value'!$B$20)+(C85*E85*'Travel Time - Calc'!H84*0.2*'Travel Time - Value'!$B$20))*(1/3600)*365</f>
        <v>1144.0861611666667</v>
      </c>
      <c r="J85" s="396">
        <f>((C85*F85*0.15*'Emission - Calc (Non-CO2)'!F86)+(C85*F85*0.65*'Emission - Calc (Non-CO2)'!P86)+(C85*F85*0.2*'Emission - Calc (Non-CO2)'!Z86))*(1/1101500)*365</f>
        <v>5.6958309977303688E-2</v>
      </c>
      <c r="K85" s="397">
        <f>((C85*F85*0.15*'Emission - Calc (Non-CO2)'!G86)+(C85*F85*0.65*'Emission - Calc (Non-CO2)'!Q86)+(C85*F85*0.2*'Emission - Calc (Non-CO2)'!AA86))*(1/1101500)*365</f>
        <v>0.10704170064457559</v>
      </c>
      <c r="L85" s="397">
        <f>((C85*F85*0.15*'Emission - Calc (Non-CO2)'!H86)+(C85*F85*0.65*'Emission - Calc (Non-CO2)'!R86)+(C85*F85*0.2*'Emission - Calc (Non-CO2)'!AB86))*(1/1000000)*365</f>
        <v>0.77101233440000017</v>
      </c>
      <c r="M85" s="397">
        <f>((C85*F85*0.15*'Emission - Calc (Non-CO2)'!I86)+(C85*F85*0.65*'Emission - Calc (Non-CO2)'!S86)+(C85*F85*0.2*'Emission - Calc (Non-CO2)'!AC86))*(1/1101500)*365</f>
        <v>1.0487770494779846E-2</v>
      </c>
      <c r="N85" s="347">
        <f>((C85*F85*0.15*'Emission - Calc (CO2)'!F85)+(C85*F85*0.65*'Emission - Calc (CO2)'!J85)+(C85*F85*0.15*'Emission - Calc (CO2)'!N85))*(1/1101500)*365</f>
        <v>129.0788783477077</v>
      </c>
      <c r="O85" s="336">
        <f>((C85*F85*1.60934*0.15*'Fuel Savings - Calc'!F86)+(C85*F85*1.60934*0.65*'Fuel Savings - Calc'!J86)+(C85*F85*1.60934*0.2*'Fuel Savings - Calc'!N86))*0.000264172*365</f>
        <v>23330.471965367098</v>
      </c>
    </row>
    <row r="86" spans="1:15" x14ac:dyDescent="0.25">
      <c r="A86" s="344">
        <v>978</v>
      </c>
      <c r="B86" s="89" t="s">
        <v>27</v>
      </c>
      <c r="C86" s="89">
        <v>46715</v>
      </c>
      <c r="D86" s="343">
        <v>2E-3</v>
      </c>
      <c r="E86" s="343">
        <v>4.2000000000000003E-2</v>
      </c>
      <c r="F86" s="345">
        <v>0.01</v>
      </c>
      <c r="G86" s="346">
        <f>((C86*(1-(D86+E86))*'Travel Time - Calc'!F85*0.15*'Travel Time - Value'!$B$19)+(C86*(1-(D86+E86))*'Travel Time - Calc'!J85*0.65*'Travel Time - Value'!$B$19)+(C86*(1-(D86+E86))*'Travel Time - Calc'!H85*0.2*'Travel Time - Value'!$B$19))*(1/3600)*365</f>
        <v>42641.130380201386</v>
      </c>
      <c r="H86" s="342">
        <f>((C86*D86*'Travel Time - Calc'!F85*0.15)+(C86*D86*'Travel Time - Calc'!J85*0.65)+(C86*D86*'Travel Time - Calc'!H85*0.2))*(1/3600)*365</f>
        <v>64.177975347222215</v>
      </c>
      <c r="I86" s="347">
        <f>((C86*E86*'Travel Time - Calc'!F85*0.15*'Travel Time - Value'!$B$20)+(C86*E86*'Travel Time - Calc'!J85*0.65*'Travel Time - Value'!$B$20)+(C86*E86*'Travel Time - Calc'!H85*0.2*'Travel Time - Value'!$B$20))*(1/3600)*365</f>
        <v>1347.737482291667</v>
      </c>
      <c r="J86" s="396">
        <f>((C86*F86*0.15*'Emission - Calc (Non-CO2)'!F87)+(C86*F86*0.65*'Emission - Calc (Non-CO2)'!P87)+(C86*F86*0.2*'Emission - Calc (Non-CO2)'!Z87))*(1/1101500)*365</f>
        <v>2.2021531579664095E-2</v>
      </c>
      <c r="K86" s="397">
        <f>((C86*F86*0.15*'Emission - Calc (Non-CO2)'!G87)+(C86*F86*0.65*'Emission - Calc (Non-CO2)'!Q87)+(C86*F86*0.2*'Emission - Calc (Non-CO2)'!AA87))*(1/1101500)*365</f>
        <v>6.2959351357240123E-2</v>
      </c>
      <c r="L86" s="397">
        <f>((C86*F86*0.15*'Emission - Calc (Non-CO2)'!H87)+(C86*F86*0.65*'Emission - Calc (Non-CO2)'!R87)+(C86*F86*0.2*'Emission - Calc (Non-CO2)'!AB87))*(1/1000000)*365</f>
        <v>0.48189891819374997</v>
      </c>
      <c r="M86" s="397">
        <f>((C86*F86*0.15*'Emission - Calc (Non-CO2)'!I87)+(C86*F86*0.65*'Emission - Calc (Non-CO2)'!S87)+(C86*F86*0.2*'Emission - Calc (Non-CO2)'!AC87))*(1/1101500)*365</f>
        <v>4.5549245517476173E-3</v>
      </c>
      <c r="N86" s="347">
        <f>((C86*F86*0.15*'Emission - Calc (CO2)'!F86)+(C86*F86*0.65*'Emission - Calc (CO2)'!J86)+(C86*F86*0.15*'Emission - Calc (CO2)'!N86))*(1/1101500)*365</f>
        <v>57.855668690422156</v>
      </c>
      <c r="O86" s="336">
        <f>((C86*F86*1.60934*0.15*'Fuel Savings - Calc'!F87)+(C86*F86*1.60934*0.65*'Fuel Savings - Calc'!J87)+(C86*F86*1.60934*0.2*'Fuel Savings - Calc'!N87))*0.000264172*365</f>
        <v>11413.044374431282</v>
      </c>
    </row>
    <row r="87" spans="1:15" x14ac:dyDescent="0.25">
      <c r="A87" s="344">
        <v>2091</v>
      </c>
      <c r="B87" s="89" t="s">
        <v>26</v>
      </c>
      <c r="C87" s="89">
        <v>18401</v>
      </c>
      <c r="D87" s="343">
        <v>5.0000000000000001E-3</v>
      </c>
      <c r="E87" s="343">
        <v>3.1E-2</v>
      </c>
      <c r="F87" s="345">
        <v>0.01</v>
      </c>
      <c r="G87" s="346">
        <f>((C87*(1-(D87+E87))*'Travel Time - Calc'!F86*0.15*'Travel Time - Value'!$B$19)+(C87*(1-(D87+E87))*'Travel Time - Calc'!J86*0.65*'Travel Time - Value'!$B$19)+(C87*(1-(D87+E87))*'Travel Time - Calc'!H86*0.2*'Travel Time - Value'!$B$19))*(1/3600)*365</f>
        <v>16686.870409179166</v>
      </c>
      <c r="H87" s="342">
        <f>((C87*D87*'Travel Time - Calc'!F86*0.15)+(C87*D87*'Travel Time - Calc'!J86*0.65)+(C87*D87*'Travel Time - Calc'!H86*0.2))*(1/3600)*365</f>
        <v>62.266300520833333</v>
      </c>
      <c r="I87" s="347">
        <f>((C87*E87*'Travel Time - Calc'!F86*0.15*'Travel Time - Value'!$B$20)+(C87*E87*'Travel Time - Calc'!J86*0.65*'Travel Time - Value'!$B$20)+(C87*E87*'Travel Time - Calc'!H86*0.2*'Travel Time - Value'!$B$20))*(1/3600)*365</f>
        <v>386.05106322916669</v>
      </c>
      <c r="J87" s="396">
        <f>((C87*F87*0.15*'Emission - Calc (Non-CO2)'!F88)+(C87*F87*0.65*'Emission - Calc (Non-CO2)'!P88)+(C87*F87*0.2*'Emission - Calc (Non-CO2)'!Z88))*(1/1101500)*365</f>
        <v>8.3605177375624153E-3</v>
      </c>
      <c r="K87" s="397">
        <f>((C87*F87*0.15*'Emission - Calc (Non-CO2)'!G88)+(C87*F87*0.65*'Emission - Calc (Non-CO2)'!Q88)+(C87*F87*0.2*'Emission - Calc (Non-CO2)'!AA88))*(1/1101500)*365</f>
        <v>2.4420069002950521E-2</v>
      </c>
      <c r="L87" s="397">
        <f>((C87*F87*0.15*'Emission - Calc (Non-CO2)'!H88)+(C87*F87*0.65*'Emission - Calc (Non-CO2)'!R88)+(C87*F87*0.2*'Emission - Calc (Non-CO2)'!AB88))*(1/1000000)*365</f>
        <v>0.18163267360449997</v>
      </c>
      <c r="M87" s="397">
        <f>((C87*F87*0.15*'Emission - Calc (Non-CO2)'!I88)+(C87*F87*0.65*'Emission - Calc (Non-CO2)'!S88)+(C87*F87*0.2*'Emission - Calc (Non-CO2)'!AC88))*(1/1101500)*365</f>
        <v>1.778022727190195E-3</v>
      </c>
      <c r="N87" s="347">
        <f>((C87*F87*0.15*'Emission - Calc (CO2)'!F87)+(C87*F87*0.65*'Emission - Calc (CO2)'!J87)+(C87*F87*0.15*'Emission - Calc (CO2)'!N87))*(1/1101500)*365</f>
        <v>21.859435792101674</v>
      </c>
      <c r="O87" s="336">
        <f>((C87*F87*1.60934*0.15*'Fuel Savings - Calc'!F88)+(C87*F87*1.60934*0.65*'Fuel Savings - Calc'!J88)+(C87*F87*1.60934*0.2*'Fuel Savings - Calc'!N88))*0.000264172*365</f>
        <v>4384.2344415023581</v>
      </c>
    </row>
    <row r="88" spans="1:15" x14ac:dyDescent="0.25">
      <c r="A88" s="344">
        <v>2091</v>
      </c>
      <c r="B88" s="89" t="s">
        <v>27</v>
      </c>
      <c r="C88" s="89">
        <v>14202</v>
      </c>
      <c r="D88" s="343">
        <v>5.0000000000000001E-3</v>
      </c>
      <c r="E88" s="343">
        <v>2.5999999999999999E-2</v>
      </c>
      <c r="F88" s="345">
        <v>0.1</v>
      </c>
      <c r="G88" s="346">
        <f>((C88*(1-(D88+E88))*'Travel Time - Calc'!F87*0.15*'Travel Time - Value'!$B$19)+(C88*(1-(D88+E88))*'Travel Time - Calc'!J87*0.65*'Travel Time - Value'!$B$19)+(C88*(1-(D88+E88))*'Travel Time - Calc'!H87*0.2*'Travel Time - Value'!$B$19))*(1/3600)*365</f>
        <v>58745.92177320749</v>
      </c>
      <c r="H88" s="342">
        <f>((C88*D88*'Travel Time - Calc'!F87*0.15)+(C88*D88*'Travel Time - Calc'!J87*0.65)+(C88*D88*'Travel Time - Calc'!H87*0.2))*(1/3600)*365</f>
        <v>218.07664125000002</v>
      </c>
      <c r="I88" s="347">
        <f>((C88*E88*'Travel Time - Calc'!F87*0.15*'Travel Time - Value'!$B$20)+(C88*E88*'Travel Time - Calc'!J87*0.65*'Travel Time - Value'!$B$20)+(C88*E88*'Travel Time - Calc'!H87*0.2*'Travel Time - Value'!$B$20))*(1/3600)*365</f>
        <v>1133.9985345</v>
      </c>
      <c r="J88" s="396">
        <f>((C88*F88*0.15*'Emission - Calc (Non-CO2)'!F89)+(C88*F88*0.65*'Emission - Calc (Non-CO2)'!P89)+(C88*F88*0.2*'Emission - Calc (Non-CO2)'!Z89))*(1/1101500)*365</f>
        <v>8.71633728506582E-2</v>
      </c>
      <c r="K88" s="397">
        <f>((C88*F88*0.15*'Emission - Calc (Non-CO2)'!G89)+(C88*F88*0.65*'Emission - Calc (Non-CO2)'!Q89)+(C88*F88*0.2*'Emission - Calc (Non-CO2)'!AA89))*(1/1101500)*365</f>
        <v>0.21975909197458013</v>
      </c>
      <c r="L88" s="397">
        <f>((C88*F88*0.15*'Emission - Calc (Non-CO2)'!H89)+(C88*F88*0.65*'Emission - Calc (Non-CO2)'!R89)+(C88*F88*0.2*'Emission - Calc (Non-CO2)'!AB89))*(1/1000000)*365</f>
        <v>1.738527142995</v>
      </c>
      <c r="M88" s="397">
        <f>((C88*F88*0.15*'Emission - Calc (Non-CO2)'!I89)+(C88*F88*0.65*'Emission - Calc (Non-CO2)'!S89)+(C88*F88*0.2*'Emission - Calc (Non-CO2)'!AC89))*(1/1101500)*365</f>
        <v>1.7772452423967317E-2</v>
      </c>
      <c r="N88" s="347">
        <f>((C88*F88*0.15*'Emission - Calc (CO2)'!F88)+(C88*F88*0.65*'Emission - Calc (CO2)'!J88)+(C88*F88*0.15*'Emission - Calc (CO2)'!N88))*(1/1101500)*365</f>
        <v>219.71438436223352</v>
      </c>
      <c r="O88" s="336">
        <f>((C88*F88*1.60934*0.15*'Fuel Savings - Calc'!F89)+(C88*F88*1.60934*0.65*'Fuel Savings - Calc'!J89)+(C88*F88*1.60934*0.2*'Fuel Savings - Calc'!N89))*0.000264172*365</f>
        <v>41132.404905218005</v>
      </c>
    </row>
    <row r="89" spans="1:15" x14ac:dyDescent="0.25">
      <c r="A89" s="344">
        <v>2092</v>
      </c>
      <c r="B89" s="89" t="s">
        <v>26</v>
      </c>
      <c r="C89" s="89">
        <v>18401</v>
      </c>
      <c r="D89" s="343">
        <v>3.0000000000000001E-3</v>
      </c>
      <c r="E89" s="343">
        <v>3.2000000000000001E-2</v>
      </c>
      <c r="F89" s="345">
        <v>0.1</v>
      </c>
      <c r="G89" s="346">
        <f>((C89*(1-(D89+E89))*'Travel Time - Calc'!F88*0.15*'Travel Time - Value'!$B$19)+(C89*(1-(D89+E89))*'Travel Time - Calc'!J88*0.65*'Travel Time - Value'!$B$19)+(C89*(1-(D89+E89))*'Travel Time - Calc'!H88*0.2*'Travel Time - Value'!$B$19))*(1/3600)*365</f>
        <v>50813.241026052427</v>
      </c>
      <c r="H89" s="342">
        <f>((C89*D89*'Travel Time - Calc'!F88*0.15)+(C89*D89*'Travel Time - Calc'!J88*0.65)+(C89*D89*'Travel Time - Calc'!H88*0.2))*(1/3600)*365</f>
        <v>113.64649277083333</v>
      </c>
      <c r="I89" s="347">
        <f>((C89*E89*'Travel Time - Calc'!F88*0.15*'Travel Time - Value'!$B$20)+(C89*E89*'Travel Time - Calc'!J88*0.65*'Travel Time - Value'!$B$20)+(C89*E89*'Travel Time - Calc'!H88*0.2*'Travel Time - Value'!$B$20))*(1/3600)*365</f>
        <v>1212.2292562222224</v>
      </c>
      <c r="J89" s="396">
        <f>((C89*F89*0.15*'Emission - Calc (Non-CO2)'!F90)+(C89*F89*0.65*'Emission - Calc (Non-CO2)'!P90)+(C89*F89*0.2*'Emission - Calc (Non-CO2)'!Z90))*(1/1101500)*365</f>
        <v>9.9672319993191094E-2</v>
      </c>
      <c r="K89" s="397">
        <f>((C89*F89*0.15*'Emission - Calc (Non-CO2)'!G90)+(C89*F89*0.65*'Emission - Calc (Non-CO2)'!Q90)+(C89*F89*0.2*'Emission - Calc (Non-CO2)'!AA90))*(1/1101500)*365</f>
        <v>0.26643512032682704</v>
      </c>
      <c r="L89" s="397">
        <f>((C89*F89*0.15*'Emission - Calc (Non-CO2)'!H90)+(C89*F89*0.65*'Emission - Calc (Non-CO2)'!R90)+(C89*F89*0.2*'Emission - Calc (Non-CO2)'!AB90))*(1/1000000)*365</f>
        <v>2.0584281870175003</v>
      </c>
      <c r="M89" s="397">
        <f>((C89*F89*0.15*'Emission - Calc (Non-CO2)'!I90)+(C89*F89*0.65*'Emission - Calc (Non-CO2)'!S90)+(C89*F89*0.2*'Emission - Calc (Non-CO2)'!AC90))*(1/1101500)*365</f>
        <v>2.0670428824330459E-2</v>
      </c>
      <c r="N89" s="347">
        <f>((C89*F89*0.15*'Emission - Calc (CO2)'!F89)+(C89*F89*0.65*'Emission - Calc (CO2)'!J89)+(C89*F89*0.15*'Emission - Calc (CO2)'!N89))*(1/1101500)*365</f>
        <v>254.988641710168</v>
      </c>
      <c r="O89" s="336">
        <f>((C89*F89*1.60934*0.15*'Fuel Savings - Calc'!F90)+(C89*F89*1.60934*0.65*'Fuel Savings - Calc'!J90)+(C89*F89*1.60934*0.2*'Fuel Savings - Calc'!N90))*0.000264172*365</f>
        <v>48887.096321597353</v>
      </c>
    </row>
    <row r="90" spans="1:15" ht="15.75" thickBot="1" x14ac:dyDescent="0.3">
      <c r="A90" s="359">
        <v>2092</v>
      </c>
      <c r="B90" s="360" t="s">
        <v>27</v>
      </c>
      <c r="C90" s="360">
        <v>14202</v>
      </c>
      <c r="D90" s="361">
        <v>2E-3</v>
      </c>
      <c r="E90" s="361">
        <v>2.3E-2</v>
      </c>
      <c r="F90" s="362">
        <v>0.01</v>
      </c>
      <c r="G90" s="363">
        <f>((C90*(1-(D90+E90))*'Travel Time - Calc'!F89*0.15*'Travel Time - Value'!$B$19)+(C90*(1-(D90+E90))*'Travel Time - Calc'!J89*0.65*'Travel Time - Value'!$B$19)+(C90*(1-(D90+E90))*'Travel Time - Calc'!H89*0.2*'Travel Time - Value'!$B$19))*(1/3600)*365</f>
        <v>14021.22828965625</v>
      </c>
      <c r="H90" s="364">
        <f>((C90*D90*'Travel Time - Calc'!F89*0.15)+(C90*D90*'Travel Time - Calc'!J89*0.65)+(C90*D90*'Travel Time - Calc'!H89*0.2))*(1/3600)*365</f>
        <v>20.691722250000002</v>
      </c>
      <c r="I90" s="365">
        <f>((C90*E90*'Travel Time - Calc'!F89*0.15*'Travel Time - Value'!$B$20)+(C90*E90*'Travel Time - Calc'!J89*0.65*'Travel Time - Value'!$B$20)+(C90*E90*'Travel Time - Calc'!H89*0.2*'Travel Time - Value'!$B$20))*(1/3600)*365</f>
        <v>237.95480587500003</v>
      </c>
      <c r="J90" s="398">
        <f>((C90*F90*0.15*'Emission - Calc (Non-CO2)'!F91)+(C90*F90*0.65*'Emission - Calc (Non-CO2)'!P91)+(C90*F90*0.2*'Emission - Calc (Non-CO2)'!Z91))*(1/1101500)*365</f>
        <v>6.8207345215615086E-3</v>
      </c>
      <c r="K90" s="399">
        <f>((C90*F90*0.15*'Emission - Calc (Non-CO2)'!G91)+(C90*F90*0.65*'Emission - Calc (Non-CO2)'!Q91)+(C90*F90*0.2*'Emission - Calc (Non-CO2)'!AA91))*(1/1101500)*365</f>
        <v>1.9378161616886064E-2</v>
      </c>
      <c r="L90" s="399">
        <f>((C90*F90*0.15*'Emission - Calc (Non-CO2)'!H91)+(C90*F90*0.65*'Emission - Calc (Non-CO2)'!R91)+(C90*F90*0.2*'Emission - Calc (Non-CO2)'!AB91))*(1/1000000)*365</f>
        <v>0.14743072411650002</v>
      </c>
      <c r="M90" s="399">
        <f>((C90*F90*0.15*'Emission - Calc (Non-CO2)'!I91)+(C90*F90*0.65*'Emission - Calc (Non-CO2)'!S91)+(C90*F90*0.2*'Emission - Calc (Non-CO2)'!AC91))*(1/1101500)*365</f>
        <v>1.4407616336813438E-3</v>
      </c>
      <c r="N90" s="365">
        <f>((C90*F90*0.15*'Emission - Calc (CO2)'!F90)+(C90*F90*0.65*'Emission - Calc (CO2)'!J90)+(C90*F90*0.15*'Emission - Calc (CO2)'!N90))*(1/1101500)*365</f>
        <v>17.565385587834768</v>
      </c>
      <c r="O90" s="366">
        <f>((C90*F90*1.60934*0.15*'Fuel Savings - Calc'!F91)+(C90*F90*1.60934*0.65*'Fuel Savings - Calc'!J91)+(C90*F90*1.60934*0.2*'Fuel Savings - Calc'!N91))*0.000264172*365</f>
        <v>3490.0939405320437</v>
      </c>
    </row>
    <row r="91" spans="1:15" s="5" customFormat="1" ht="15.75" thickBot="1" x14ac:dyDescent="0.3">
      <c r="A91" s="476" t="s">
        <v>227</v>
      </c>
      <c r="B91" s="620"/>
      <c r="C91" s="620"/>
      <c r="D91" s="620"/>
      <c r="E91" s="620"/>
      <c r="F91" s="477"/>
      <c r="G91" s="400">
        <f>SUM(G5:G90)</f>
        <v>15295920.172665015</v>
      </c>
      <c r="H91" s="401">
        <f t="shared" ref="H91:O91" si="2">SUM(H5:H90)</f>
        <v>36764.634276576384</v>
      </c>
      <c r="I91" s="402">
        <f t="shared" si="2"/>
        <v>555650.76268434722</v>
      </c>
      <c r="J91" s="403">
        <f t="shared" si="2"/>
        <v>30.826373425290676</v>
      </c>
      <c r="K91" s="404">
        <f t="shared" si="2"/>
        <v>90.129392631087782</v>
      </c>
      <c r="L91" s="404">
        <f t="shared" si="2"/>
        <v>641.8472546205237</v>
      </c>
      <c r="M91" s="404">
        <f t="shared" si="2"/>
        <v>6.049223216269179</v>
      </c>
      <c r="N91" s="405">
        <f t="shared" si="2"/>
        <v>82432.944826787643</v>
      </c>
      <c r="O91" s="406">
        <f t="shared" si="2"/>
        <v>15973683.038741045</v>
      </c>
    </row>
    <row r="93" spans="1:15" x14ac:dyDescent="0.25">
      <c r="A93" s="21" t="s">
        <v>38</v>
      </c>
    </row>
    <row r="94" spans="1:15" x14ac:dyDescent="0.25">
      <c r="A94" s="2" t="s">
        <v>330</v>
      </c>
    </row>
    <row r="95" spans="1:15" x14ac:dyDescent="0.25">
      <c r="A95" s="2" t="s">
        <v>377</v>
      </c>
    </row>
    <row r="96" spans="1:15" x14ac:dyDescent="0.25">
      <c r="A96" s="2" t="s">
        <v>331</v>
      </c>
    </row>
    <row r="97" spans="1:1" x14ac:dyDescent="0.25">
      <c r="A97" s="2" t="s">
        <v>332</v>
      </c>
    </row>
    <row r="98" spans="1:1" x14ac:dyDescent="0.25">
      <c r="A98" s="2" t="s">
        <v>486</v>
      </c>
    </row>
    <row r="99" spans="1:1" x14ac:dyDescent="0.25">
      <c r="A99" s="2" t="s">
        <v>346</v>
      </c>
    </row>
    <row r="100" spans="1:1" x14ac:dyDescent="0.25">
      <c r="A100" s="2" t="s">
        <v>360</v>
      </c>
    </row>
  </sheetData>
  <mergeCells count="11">
    <mergeCell ref="A1:V1"/>
    <mergeCell ref="A91:F91"/>
    <mergeCell ref="F3:F4"/>
    <mergeCell ref="R3:V3"/>
    <mergeCell ref="G3:I3"/>
    <mergeCell ref="J3:N3"/>
    <mergeCell ref="A3:A4"/>
    <mergeCell ref="B3:B4"/>
    <mergeCell ref="C3:C4"/>
    <mergeCell ref="D3:D4"/>
    <mergeCell ref="E3:E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9"/>
  <sheetViews>
    <sheetView workbookViewId="0">
      <selection activeCell="G42" sqref="G42"/>
    </sheetView>
  </sheetViews>
  <sheetFormatPr defaultRowHeight="15" x14ac:dyDescent="0.25"/>
  <cols>
    <col min="1" max="1" width="22.140625" customWidth="1"/>
    <col min="2" max="2" width="14.28515625" bestFit="1" customWidth="1"/>
    <col min="3" max="3" width="21.42578125" customWidth="1"/>
    <col min="4" max="4" width="20.7109375" customWidth="1"/>
    <col min="5" max="5" width="21.42578125" customWidth="1"/>
    <col min="6" max="6" width="17.7109375" bestFit="1" customWidth="1"/>
    <col min="7" max="7" width="20.7109375" customWidth="1"/>
    <col min="8" max="8" width="20.140625" customWidth="1"/>
    <col min="9" max="9" width="13.7109375" bestFit="1" customWidth="1"/>
  </cols>
  <sheetData>
    <row r="1" spans="1:9" x14ac:dyDescent="0.25">
      <c r="A1" s="478" t="s">
        <v>414</v>
      </c>
      <c r="B1" s="478"/>
      <c r="C1" s="478"/>
      <c r="D1" s="478"/>
      <c r="E1" s="478"/>
      <c r="F1" s="478"/>
      <c r="G1" s="478"/>
      <c r="H1" s="478"/>
    </row>
    <row r="3" spans="1:9" x14ac:dyDescent="0.25">
      <c r="A3" s="484" t="s">
        <v>0</v>
      </c>
      <c r="B3" s="632" t="s">
        <v>7</v>
      </c>
      <c r="C3" s="490" t="s">
        <v>416</v>
      </c>
      <c r="D3" s="492"/>
      <c r="E3" s="483" t="s">
        <v>415</v>
      </c>
      <c r="F3" s="483"/>
      <c r="G3" s="483"/>
      <c r="H3" s="483" t="s">
        <v>451</v>
      </c>
    </row>
    <row r="4" spans="1:9" ht="32.25" x14ac:dyDescent="0.25">
      <c r="A4" s="486"/>
      <c r="B4" s="633"/>
      <c r="C4" s="434" t="s">
        <v>417</v>
      </c>
      <c r="D4" s="429" t="s">
        <v>490</v>
      </c>
      <c r="E4" s="428" t="s">
        <v>417</v>
      </c>
      <c r="F4" s="428" t="s">
        <v>491</v>
      </c>
      <c r="G4" s="429" t="s">
        <v>492</v>
      </c>
      <c r="H4" s="483"/>
    </row>
    <row r="5" spans="1:9" x14ac:dyDescent="0.25">
      <c r="A5" s="89">
        <v>2016</v>
      </c>
      <c r="B5" s="29" t="s">
        <v>109</v>
      </c>
      <c r="C5" s="6" t="s">
        <v>420</v>
      </c>
      <c r="D5" s="436">
        <f>$B$44</f>
        <v>4930000</v>
      </c>
      <c r="E5" s="6" t="s">
        <v>109</v>
      </c>
      <c r="F5" s="435">
        <v>0</v>
      </c>
      <c r="G5" s="435">
        <v>0</v>
      </c>
      <c r="H5" s="7">
        <v>0</v>
      </c>
      <c r="I5" s="232"/>
    </row>
    <row r="6" spans="1:9" x14ac:dyDescent="0.25">
      <c r="A6" s="89">
        <v>2017</v>
      </c>
      <c r="B6" s="29" t="s">
        <v>109</v>
      </c>
      <c r="C6" s="6" t="s">
        <v>420</v>
      </c>
      <c r="D6" s="436">
        <f>D5*1.025</f>
        <v>5053250</v>
      </c>
      <c r="E6" s="6" t="s">
        <v>109</v>
      </c>
      <c r="F6" s="435">
        <v>0</v>
      </c>
      <c r="G6" s="435">
        <v>0</v>
      </c>
      <c r="H6" s="7">
        <v>0</v>
      </c>
      <c r="I6" s="232"/>
    </row>
    <row r="7" spans="1:9" x14ac:dyDescent="0.25">
      <c r="A7" s="89">
        <v>2018</v>
      </c>
      <c r="B7" s="29" t="s">
        <v>109</v>
      </c>
      <c r="C7" s="6" t="s">
        <v>420</v>
      </c>
      <c r="D7" s="436">
        <f t="shared" ref="D7:D31" si="0">D6*1.025</f>
        <v>5179581.25</v>
      </c>
      <c r="E7" s="6" t="s">
        <v>109</v>
      </c>
      <c r="F7" s="435">
        <v>0</v>
      </c>
      <c r="G7" s="435">
        <v>0</v>
      </c>
      <c r="H7" s="7">
        <v>0</v>
      </c>
      <c r="I7" s="232"/>
    </row>
    <row r="8" spans="1:9" x14ac:dyDescent="0.25">
      <c r="A8" s="89">
        <v>2019</v>
      </c>
      <c r="B8" s="29" t="s">
        <v>109</v>
      </c>
      <c r="C8" s="6" t="s">
        <v>420</v>
      </c>
      <c r="D8" s="436">
        <f t="shared" si="0"/>
        <v>5309070.78125</v>
      </c>
      <c r="E8" s="6" t="s">
        <v>109</v>
      </c>
      <c r="F8" s="435">
        <v>0</v>
      </c>
      <c r="G8" s="435">
        <v>0</v>
      </c>
      <c r="H8" s="7">
        <v>0</v>
      </c>
      <c r="I8" s="232"/>
    </row>
    <row r="9" spans="1:9" x14ac:dyDescent="0.25">
      <c r="A9" s="29" t="s">
        <v>105</v>
      </c>
      <c r="B9" s="29" t="s">
        <v>110</v>
      </c>
      <c r="C9" s="6" t="s">
        <v>420</v>
      </c>
      <c r="D9" s="436">
        <f t="shared" si="0"/>
        <v>5441797.5507812491</v>
      </c>
      <c r="E9" s="6" t="s">
        <v>109</v>
      </c>
      <c r="F9" s="435">
        <v>0</v>
      </c>
      <c r="G9" s="435">
        <v>0</v>
      </c>
      <c r="H9" s="7">
        <v>0</v>
      </c>
      <c r="I9" s="232"/>
    </row>
    <row r="10" spans="1:9" x14ac:dyDescent="0.25">
      <c r="A10" s="89">
        <v>2021</v>
      </c>
      <c r="B10" s="29" t="s">
        <v>110</v>
      </c>
      <c r="C10" s="6" t="s">
        <v>420</v>
      </c>
      <c r="D10" s="436">
        <f t="shared" si="0"/>
        <v>5577842.4895507796</v>
      </c>
      <c r="E10" s="6" t="s">
        <v>109</v>
      </c>
      <c r="F10" s="435">
        <v>0</v>
      </c>
      <c r="G10" s="435">
        <v>0</v>
      </c>
      <c r="H10" s="7">
        <v>0</v>
      </c>
      <c r="I10" s="232"/>
    </row>
    <row r="11" spans="1:9" x14ac:dyDescent="0.25">
      <c r="A11" s="29" t="s">
        <v>106</v>
      </c>
      <c r="B11" s="29" t="s">
        <v>110</v>
      </c>
      <c r="C11" s="6" t="s">
        <v>420</v>
      </c>
      <c r="D11" s="436">
        <f t="shared" si="0"/>
        <v>5717288.5517895482</v>
      </c>
      <c r="E11" s="6" t="s">
        <v>109</v>
      </c>
      <c r="F11" s="435">
        <v>0</v>
      </c>
      <c r="G11" s="435">
        <v>0</v>
      </c>
      <c r="H11" s="7">
        <v>0</v>
      </c>
      <c r="I11" s="232"/>
    </row>
    <row r="12" spans="1:9" x14ac:dyDescent="0.25">
      <c r="A12" s="89">
        <v>2023</v>
      </c>
      <c r="B12" s="89">
        <v>1</v>
      </c>
      <c r="C12" s="6" t="s">
        <v>420</v>
      </c>
      <c r="D12" s="436">
        <f t="shared" si="0"/>
        <v>5860220.7655842863</v>
      </c>
      <c r="E12" s="6" t="s">
        <v>418</v>
      </c>
      <c r="F12" s="435">
        <v>0</v>
      </c>
      <c r="G12" s="436">
        <f>F12*67</f>
        <v>0</v>
      </c>
      <c r="H12" s="7">
        <f>D12-G12</f>
        <v>5860220.7655842863</v>
      </c>
      <c r="I12" s="232"/>
    </row>
    <row r="13" spans="1:9" x14ac:dyDescent="0.25">
      <c r="A13" s="89">
        <v>2024</v>
      </c>
      <c r="B13" s="89">
        <v>2</v>
      </c>
      <c r="C13" s="6" t="s">
        <v>420</v>
      </c>
      <c r="D13" s="436">
        <f t="shared" si="0"/>
        <v>6006726.2847238928</v>
      </c>
      <c r="E13" s="6" t="s">
        <v>418</v>
      </c>
      <c r="F13" s="435">
        <v>0</v>
      </c>
      <c r="G13" s="436">
        <f t="shared" ref="G13:G31" si="1">F13*67</f>
        <v>0</v>
      </c>
      <c r="H13" s="7">
        <f t="shared" ref="H13:H31" si="2">D13-G13</f>
        <v>6006726.2847238928</v>
      </c>
      <c r="I13" s="232"/>
    </row>
    <row r="14" spans="1:9" x14ac:dyDescent="0.25">
      <c r="A14" s="89">
        <v>2025</v>
      </c>
      <c r="B14" s="89">
        <v>3</v>
      </c>
      <c r="C14" s="6" t="s">
        <v>420</v>
      </c>
      <c r="D14" s="436">
        <f t="shared" si="0"/>
        <v>6156894.4418419898</v>
      </c>
      <c r="E14" s="6" t="s">
        <v>418</v>
      </c>
      <c r="F14" s="435">
        <v>0</v>
      </c>
      <c r="G14" s="436">
        <f t="shared" si="1"/>
        <v>0</v>
      </c>
      <c r="H14" s="7">
        <f t="shared" si="2"/>
        <v>6156894.4418419898</v>
      </c>
      <c r="I14" s="232"/>
    </row>
    <row r="15" spans="1:9" x14ac:dyDescent="0.25">
      <c r="A15" s="89">
        <v>2026</v>
      </c>
      <c r="B15" s="89">
        <v>4</v>
      </c>
      <c r="C15" s="6" t="s">
        <v>420</v>
      </c>
      <c r="D15" s="436">
        <f t="shared" si="0"/>
        <v>6310816.8028880386</v>
      </c>
      <c r="E15" s="6" t="s">
        <v>418</v>
      </c>
      <c r="F15" s="435">
        <v>0</v>
      </c>
      <c r="G15" s="436">
        <f t="shared" si="1"/>
        <v>0</v>
      </c>
      <c r="H15" s="7">
        <f t="shared" si="2"/>
        <v>6310816.8028880386</v>
      </c>
      <c r="I15" s="232"/>
    </row>
    <row r="16" spans="1:9" x14ac:dyDescent="0.25">
      <c r="A16" s="89">
        <v>2027</v>
      </c>
      <c r="B16" s="89">
        <v>5</v>
      </c>
      <c r="C16" s="6" t="s">
        <v>420</v>
      </c>
      <c r="D16" s="436">
        <f t="shared" si="0"/>
        <v>6468587.2229602393</v>
      </c>
      <c r="E16" s="6" t="s">
        <v>418</v>
      </c>
      <c r="F16" s="435">
        <v>0</v>
      </c>
      <c r="G16" s="436">
        <f t="shared" si="1"/>
        <v>0</v>
      </c>
      <c r="H16" s="7">
        <f t="shared" si="2"/>
        <v>6468587.2229602393</v>
      </c>
      <c r="I16" s="232"/>
    </row>
    <row r="17" spans="1:9" x14ac:dyDescent="0.25">
      <c r="A17" s="89">
        <v>2028</v>
      </c>
      <c r="B17" s="89">
        <v>6</v>
      </c>
      <c r="C17" s="6" t="s">
        <v>420</v>
      </c>
      <c r="D17" s="436">
        <f t="shared" si="0"/>
        <v>6630301.9035342447</v>
      </c>
      <c r="E17" s="6" t="s">
        <v>418</v>
      </c>
      <c r="F17" s="435">
        <v>0</v>
      </c>
      <c r="G17" s="436">
        <f t="shared" si="1"/>
        <v>0</v>
      </c>
      <c r="H17" s="7">
        <f t="shared" si="2"/>
        <v>6630301.9035342447</v>
      </c>
      <c r="I17" s="232"/>
    </row>
    <row r="18" spans="1:9" x14ac:dyDescent="0.25">
      <c r="A18" s="89">
        <v>2029</v>
      </c>
      <c r="B18" s="89">
        <v>7</v>
      </c>
      <c r="C18" s="6" t="s">
        <v>420</v>
      </c>
      <c r="D18" s="436">
        <f t="shared" si="0"/>
        <v>6796059.4511226006</v>
      </c>
      <c r="E18" s="6" t="s">
        <v>418</v>
      </c>
      <c r="F18" s="435">
        <v>0</v>
      </c>
      <c r="G18" s="436">
        <f t="shared" si="1"/>
        <v>0</v>
      </c>
      <c r="H18" s="7">
        <f t="shared" si="2"/>
        <v>6796059.4511226006</v>
      </c>
      <c r="I18" s="232"/>
    </row>
    <row r="19" spans="1:9" x14ac:dyDescent="0.25">
      <c r="A19" s="89">
        <v>2030</v>
      </c>
      <c r="B19" s="89">
        <v>8</v>
      </c>
      <c r="C19" s="6" t="s">
        <v>420</v>
      </c>
      <c r="D19" s="436">
        <f t="shared" si="0"/>
        <v>6965960.9374006651</v>
      </c>
      <c r="E19" s="6" t="s">
        <v>418</v>
      </c>
      <c r="F19" s="435">
        <v>0</v>
      </c>
      <c r="G19" s="436">
        <f t="shared" si="1"/>
        <v>0</v>
      </c>
      <c r="H19" s="7">
        <f t="shared" si="2"/>
        <v>6965960.9374006651</v>
      </c>
      <c r="I19" s="232"/>
    </row>
    <row r="20" spans="1:9" x14ac:dyDescent="0.25">
      <c r="A20" s="89">
        <v>2031</v>
      </c>
      <c r="B20" s="89">
        <v>9</v>
      </c>
      <c r="C20" s="6" t="s">
        <v>420</v>
      </c>
      <c r="D20" s="436">
        <f t="shared" si="0"/>
        <v>7140109.9608356813</v>
      </c>
      <c r="E20" s="6" t="s">
        <v>419</v>
      </c>
      <c r="F20" s="436">
        <v>2000</v>
      </c>
      <c r="G20" s="436">
        <f t="shared" si="1"/>
        <v>134000</v>
      </c>
      <c r="H20" s="7">
        <f t="shared" si="2"/>
        <v>7006109.9608356813</v>
      </c>
      <c r="I20" s="232"/>
    </row>
    <row r="21" spans="1:9" x14ac:dyDescent="0.25">
      <c r="A21" s="89">
        <v>2032</v>
      </c>
      <c r="B21" s="89">
        <v>10</v>
      </c>
      <c r="C21" s="6" t="s">
        <v>420</v>
      </c>
      <c r="D21" s="436">
        <f t="shared" si="0"/>
        <v>7318612.7098565726</v>
      </c>
      <c r="E21" s="6" t="s">
        <v>419</v>
      </c>
      <c r="F21" s="436">
        <v>2000</v>
      </c>
      <c r="G21" s="436">
        <f t="shared" si="1"/>
        <v>134000</v>
      </c>
      <c r="H21" s="7">
        <f t="shared" si="2"/>
        <v>7184612.7098565726</v>
      </c>
      <c r="I21" s="232"/>
    </row>
    <row r="22" spans="1:9" x14ac:dyDescent="0.25">
      <c r="A22" s="89">
        <v>2033</v>
      </c>
      <c r="B22" s="89">
        <v>11</v>
      </c>
      <c r="C22" s="6" t="s">
        <v>420</v>
      </c>
      <c r="D22" s="436">
        <f t="shared" si="0"/>
        <v>7501578.0276029864</v>
      </c>
      <c r="E22" s="6" t="s">
        <v>419</v>
      </c>
      <c r="F22" s="436">
        <v>2000</v>
      </c>
      <c r="G22" s="436">
        <f t="shared" si="1"/>
        <v>134000</v>
      </c>
      <c r="H22" s="7">
        <f t="shared" si="2"/>
        <v>7367578.0276029864</v>
      </c>
      <c r="I22" s="232"/>
    </row>
    <row r="23" spans="1:9" x14ac:dyDescent="0.25">
      <c r="A23" s="89">
        <v>2034</v>
      </c>
      <c r="B23" s="89">
        <v>12</v>
      </c>
      <c r="C23" s="6" t="s">
        <v>420</v>
      </c>
      <c r="D23" s="436">
        <f t="shared" si="0"/>
        <v>7689117.4782930603</v>
      </c>
      <c r="E23" s="6" t="s">
        <v>419</v>
      </c>
      <c r="F23" s="436">
        <v>2000</v>
      </c>
      <c r="G23" s="436">
        <f t="shared" si="1"/>
        <v>134000</v>
      </c>
      <c r="H23" s="7">
        <f t="shared" si="2"/>
        <v>7555117.4782930603</v>
      </c>
      <c r="I23" s="232"/>
    </row>
    <row r="24" spans="1:9" x14ac:dyDescent="0.25">
      <c r="A24" s="89">
        <v>2035</v>
      </c>
      <c r="B24" s="89">
        <v>13</v>
      </c>
      <c r="C24" s="6" t="s">
        <v>420</v>
      </c>
      <c r="D24" s="436">
        <f t="shared" si="0"/>
        <v>7881345.4152503861</v>
      </c>
      <c r="E24" s="6" t="s">
        <v>419</v>
      </c>
      <c r="F24" s="436">
        <v>2000</v>
      </c>
      <c r="G24" s="436">
        <f t="shared" si="1"/>
        <v>134000</v>
      </c>
      <c r="H24" s="7">
        <f t="shared" si="2"/>
        <v>7747345.4152503861</v>
      </c>
      <c r="I24" s="232"/>
    </row>
    <row r="25" spans="1:9" x14ac:dyDescent="0.25">
      <c r="A25" s="89">
        <v>2036</v>
      </c>
      <c r="B25" s="89">
        <v>14</v>
      </c>
      <c r="C25" s="6" t="s">
        <v>420</v>
      </c>
      <c r="D25" s="436">
        <f t="shared" si="0"/>
        <v>8078379.0506316451</v>
      </c>
      <c r="E25" s="6" t="s">
        <v>419</v>
      </c>
      <c r="F25" s="436">
        <v>2000</v>
      </c>
      <c r="G25" s="436">
        <f t="shared" si="1"/>
        <v>134000</v>
      </c>
      <c r="H25" s="7">
        <f t="shared" si="2"/>
        <v>7944379.0506316451</v>
      </c>
      <c r="I25" s="232"/>
    </row>
    <row r="26" spans="1:9" x14ac:dyDescent="0.25">
      <c r="A26" s="89">
        <v>2037</v>
      </c>
      <c r="B26" s="89">
        <v>15</v>
      </c>
      <c r="C26" s="6" t="s">
        <v>420</v>
      </c>
      <c r="D26" s="436">
        <f t="shared" si="0"/>
        <v>8280338.526897436</v>
      </c>
      <c r="E26" s="6" t="s">
        <v>419</v>
      </c>
      <c r="F26" s="436">
        <v>2000</v>
      </c>
      <c r="G26" s="436">
        <f t="shared" si="1"/>
        <v>134000</v>
      </c>
      <c r="H26" s="7">
        <f t="shared" si="2"/>
        <v>8146338.526897436</v>
      </c>
      <c r="I26" s="232"/>
    </row>
    <row r="27" spans="1:9" x14ac:dyDescent="0.25">
      <c r="A27" s="89">
        <v>2038</v>
      </c>
      <c r="B27" s="89">
        <v>16</v>
      </c>
      <c r="C27" s="6" t="s">
        <v>420</v>
      </c>
      <c r="D27" s="436">
        <f t="shared" si="0"/>
        <v>8487346.9900698718</v>
      </c>
      <c r="E27" s="6" t="s">
        <v>419</v>
      </c>
      <c r="F27" s="436">
        <v>2000</v>
      </c>
      <c r="G27" s="436">
        <f t="shared" si="1"/>
        <v>134000</v>
      </c>
      <c r="H27" s="7">
        <f t="shared" si="2"/>
        <v>8353346.9900698718</v>
      </c>
      <c r="I27" s="232"/>
    </row>
    <row r="28" spans="1:9" x14ac:dyDescent="0.25">
      <c r="A28" s="89">
        <v>2039</v>
      </c>
      <c r="B28" s="89">
        <v>17</v>
      </c>
      <c r="C28" s="6" t="s">
        <v>420</v>
      </c>
      <c r="D28" s="436">
        <f t="shared" si="0"/>
        <v>8699530.6648216173</v>
      </c>
      <c r="E28" s="6" t="s">
        <v>419</v>
      </c>
      <c r="F28" s="436">
        <v>2000</v>
      </c>
      <c r="G28" s="436">
        <f t="shared" si="1"/>
        <v>134000</v>
      </c>
      <c r="H28" s="7">
        <f t="shared" si="2"/>
        <v>8565530.6648216173</v>
      </c>
      <c r="I28" s="232"/>
    </row>
    <row r="29" spans="1:9" x14ac:dyDescent="0.25">
      <c r="A29" s="89">
        <v>2040</v>
      </c>
      <c r="B29" s="89">
        <v>18</v>
      </c>
      <c r="C29" s="6" t="s">
        <v>420</v>
      </c>
      <c r="D29" s="436">
        <f t="shared" si="0"/>
        <v>8917018.9314421564</v>
      </c>
      <c r="E29" s="6" t="s">
        <v>419</v>
      </c>
      <c r="F29" s="436">
        <v>2000</v>
      </c>
      <c r="G29" s="436">
        <f t="shared" si="1"/>
        <v>134000</v>
      </c>
      <c r="H29" s="7">
        <f t="shared" si="2"/>
        <v>8783018.9314421564</v>
      </c>
      <c r="I29" s="232"/>
    </row>
    <row r="30" spans="1:9" x14ac:dyDescent="0.25">
      <c r="A30" s="89">
        <v>2041</v>
      </c>
      <c r="B30" s="89">
        <v>19</v>
      </c>
      <c r="C30" s="6" t="s">
        <v>420</v>
      </c>
      <c r="D30" s="436">
        <f t="shared" si="0"/>
        <v>9139944.4047282096</v>
      </c>
      <c r="E30" s="6" t="s">
        <v>421</v>
      </c>
      <c r="F30" s="436">
        <v>250000</v>
      </c>
      <c r="G30" s="436">
        <f t="shared" si="1"/>
        <v>16750000</v>
      </c>
      <c r="H30" s="7">
        <f t="shared" si="2"/>
        <v>-7610055.5952717904</v>
      </c>
      <c r="I30" s="232"/>
    </row>
    <row r="31" spans="1:9" x14ac:dyDescent="0.25">
      <c r="A31" s="89">
        <v>2042</v>
      </c>
      <c r="B31" s="89">
        <v>20</v>
      </c>
      <c r="C31" s="6" t="s">
        <v>420</v>
      </c>
      <c r="D31" s="436">
        <f t="shared" si="0"/>
        <v>9368443.0148464143</v>
      </c>
      <c r="E31" s="6" t="s">
        <v>419</v>
      </c>
      <c r="F31" s="436">
        <v>2000</v>
      </c>
      <c r="G31" s="436">
        <f t="shared" si="1"/>
        <v>134000</v>
      </c>
      <c r="H31" s="7">
        <f t="shared" si="2"/>
        <v>9234443.0148464143</v>
      </c>
      <c r="I31" s="232"/>
    </row>
    <row r="32" spans="1:9" x14ac:dyDescent="0.25">
      <c r="A32" s="629" t="s">
        <v>42</v>
      </c>
      <c r="B32" s="629"/>
      <c r="C32" s="427"/>
      <c r="D32" s="445">
        <f>AVERAGE(D12:D31)</f>
        <v>7484866.6492665987</v>
      </c>
      <c r="E32" s="427"/>
      <c r="F32" s="446"/>
      <c r="G32" s="445">
        <f>AVERAGE(G12:G31)</f>
        <v>911200</v>
      </c>
      <c r="H32" s="445">
        <f>AVERAGE(H12:H31)</f>
        <v>6573666.6492665987</v>
      </c>
    </row>
    <row r="33" spans="1:8" x14ac:dyDescent="0.25">
      <c r="A33" s="629" t="s">
        <v>43</v>
      </c>
      <c r="B33" s="629"/>
      <c r="C33" s="427"/>
      <c r="D33" s="445">
        <f>SUM(D12:D31)</f>
        <v>149697332.98533198</v>
      </c>
      <c r="E33" s="427"/>
      <c r="F33" s="446"/>
      <c r="G33" s="445">
        <f>SUM(G12:G31)</f>
        <v>18224000</v>
      </c>
      <c r="H33" s="445">
        <f>SUM(H12:H31)</f>
        <v>131473332.98533197</v>
      </c>
    </row>
    <row r="34" spans="1:8" x14ac:dyDescent="0.25">
      <c r="D34" s="232"/>
    </row>
    <row r="35" spans="1:8" x14ac:dyDescent="0.25">
      <c r="A35" s="21" t="s">
        <v>38</v>
      </c>
    </row>
    <row r="36" spans="1:8" x14ac:dyDescent="0.25">
      <c r="A36" s="2" t="s">
        <v>422</v>
      </c>
    </row>
    <row r="37" spans="1:8" x14ac:dyDescent="0.25">
      <c r="A37" s="2"/>
    </row>
    <row r="38" spans="1:8" x14ac:dyDescent="0.25">
      <c r="A38" s="2" t="s">
        <v>423</v>
      </c>
    </row>
    <row r="39" spans="1:8" x14ac:dyDescent="0.25">
      <c r="A39" s="2"/>
    </row>
    <row r="40" spans="1:8" x14ac:dyDescent="0.25">
      <c r="A40" s="2" t="s">
        <v>445</v>
      </c>
    </row>
    <row r="41" spans="1:8" x14ac:dyDescent="0.25">
      <c r="A41" s="10" t="s">
        <v>446</v>
      </c>
      <c r="B41" s="10" t="s">
        <v>447</v>
      </c>
    </row>
    <row r="42" spans="1:8" x14ac:dyDescent="0.25">
      <c r="A42" s="24" t="s">
        <v>448</v>
      </c>
      <c r="B42" s="7">
        <v>4600000</v>
      </c>
    </row>
    <row r="43" spans="1:8" x14ac:dyDescent="0.25">
      <c r="A43" s="25" t="s">
        <v>449</v>
      </c>
      <c r="B43" s="7">
        <v>330000</v>
      </c>
    </row>
    <row r="44" spans="1:8" x14ac:dyDescent="0.25">
      <c r="A44" s="8" t="s">
        <v>43</v>
      </c>
      <c r="B44" s="440">
        <f>SUM(B42:B43)</f>
        <v>4930000</v>
      </c>
    </row>
    <row r="45" spans="1:8" x14ac:dyDescent="0.25">
      <c r="A45" s="634" t="s">
        <v>495</v>
      </c>
      <c r="B45" s="634"/>
      <c r="C45" s="634"/>
      <c r="D45" s="634"/>
      <c r="E45" s="634"/>
      <c r="F45" s="634"/>
      <c r="G45" s="634"/>
      <c r="H45" s="634"/>
    </row>
    <row r="46" spans="1:8" x14ac:dyDescent="0.25">
      <c r="A46" s="634"/>
      <c r="B46" s="634"/>
      <c r="C46" s="634"/>
      <c r="D46" s="634"/>
      <c r="E46" s="634"/>
      <c r="F46" s="634"/>
      <c r="G46" s="634"/>
      <c r="H46" s="634"/>
    </row>
    <row r="47" spans="1:8" x14ac:dyDescent="0.25">
      <c r="A47" s="38"/>
      <c r="B47" s="475"/>
    </row>
    <row r="48" spans="1:8" x14ac:dyDescent="0.25">
      <c r="A48" s="2" t="s">
        <v>444</v>
      </c>
    </row>
    <row r="49" spans="1:7" x14ac:dyDescent="0.25">
      <c r="A49" s="441" t="s">
        <v>439</v>
      </c>
      <c r="B49" s="427" t="s">
        <v>424</v>
      </c>
      <c r="C49" s="630" t="s">
        <v>425</v>
      </c>
      <c r="D49" s="631"/>
      <c r="E49" s="427" t="s">
        <v>426</v>
      </c>
      <c r="F49" s="427" t="s">
        <v>427</v>
      </c>
    </row>
    <row r="50" spans="1:7" x14ac:dyDescent="0.25">
      <c r="A50" s="442" t="s">
        <v>429</v>
      </c>
      <c r="B50" s="438" t="s">
        <v>418</v>
      </c>
      <c r="C50" s="628" t="s">
        <v>434</v>
      </c>
      <c r="D50" s="628"/>
      <c r="E50" s="436">
        <v>0</v>
      </c>
      <c r="F50" s="437" t="s">
        <v>440</v>
      </c>
    </row>
    <row r="51" spans="1:7" x14ac:dyDescent="0.25">
      <c r="A51" s="443" t="s">
        <v>428</v>
      </c>
      <c r="B51" s="438" t="s">
        <v>419</v>
      </c>
      <c r="C51" s="628" t="s">
        <v>435</v>
      </c>
      <c r="D51" s="628"/>
      <c r="E51" s="436">
        <v>2000</v>
      </c>
      <c r="F51" s="438" t="s">
        <v>441</v>
      </c>
      <c r="G51" s="341"/>
    </row>
    <row r="52" spans="1:7" x14ac:dyDescent="0.25">
      <c r="A52" s="443" t="s">
        <v>430</v>
      </c>
      <c r="B52" s="438" t="s">
        <v>421</v>
      </c>
      <c r="C52" s="628" t="s">
        <v>436</v>
      </c>
      <c r="D52" s="628"/>
      <c r="E52" s="436">
        <v>250000</v>
      </c>
      <c r="F52" s="438" t="s">
        <v>442</v>
      </c>
      <c r="G52" s="341"/>
    </row>
    <row r="53" spans="1:7" x14ac:dyDescent="0.25">
      <c r="A53" s="443" t="s">
        <v>431</v>
      </c>
      <c r="B53" s="438" t="s">
        <v>420</v>
      </c>
      <c r="C53" s="628" t="s">
        <v>437</v>
      </c>
      <c r="D53" s="628"/>
      <c r="E53" s="436">
        <v>600000</v>
      </c>
      <c r="F53" s="438" t="s">
        <v>443</v>
      </c>
      <c r="G53" s="341"/>
    </row>
    <row r="54" spans="1:7" x14ac:dyDescent="0.25">
      <c r="A54" s="443" t="s">
        <v>432</v>
      </c>
      <c r="B54" s="438" t="s">
        <v>433</v>
      </c>
      <c r="C54" s="628" t="s">
        <v>438</v>
      </c>
      <c r="D54" s="628"/>
      <c r="E54" s="436">
        <v>1900000</v>
      </c>
      <c r="F54" s="438">
        <v>30</v>
      </c>
      <c r="G54" s="341"/>
    </row>
    <row r="55" spans="1:7" x14ac:dyDescent="0.25">
      <c r="A55" s="2"/>
    </row>
    <row r="56" spans="1:7" x14ac:dyDescent="0.25">
      <c r="A56" s="444" t="s">
        <v>493</v>
      </c>
    </row>
    <row r="57" spans="1:7" x14ac:dyDescent="0.25">
      <c r="A57" s="284" t="s">
        <v>494</v>
      </c>
    </row>
    <row r="58" spans="1:7" x14ac:dyDescent="0.25">
      <c r="A58" s="284"/>
    </row>
    <row r="59" spans="1:7" x14ac:dyDescent="0.25">
      <c r="A59" s="2" t="s">
        <v>450</v>
      </c>
    </row>
  </sheetData>
  <mergeCells count="15">
    <mergeCell ref="H3:H4"/>
    <mergeCell ref="A32:B32"/>
    <mergeCell ref="A33:B33"/>
    <mergeCell ref="A1:H1"/>
    <mergeCell ref="C49:D49"/>
    <mergeCell ref="A3:A4"/>
    <mergeCell ref="B3:B4"/>
    <mergeCell ref="C3:D3"/>
    <mergeCell ref="E3:G3"/>
    <mergeCell ref="A45:H46"/>
    <mergeCell ref="C50:D50"/>
    <mergeCell ref="C51:D51"/>
    <mergeCell ref="C52:D52"/>
    <mergeCell ref="C53:D53"/>
    <mergeCell ref="C54:D5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S37"/>
  <sheetViews>
    <sheetView tabSelected="1" zoomScaleNormal="100" workbookViewId="0">
      <selection activeCell="F149" sqref="F149"/>
    </sheetView>
  </sheetViews>
  <sheetFormatPr defaultRowHeight="15" x14ac:dyDescent="0.25"/>
  <cols>
    <col min="1" max="1" width="19" bestFit="1" customWidth="1"/>
    <col min="2" max="2" width="13.7109375" customWidth="1"/>
    <col min="3" max="3" width="14.5703125" customWidth="1"/>
    <col min="4" max="4" width="15.140625" customWidth="1"/>
    <col min="5" max="14" width="13.7109375" customWidth="1"/>
    <col min="15" max="16" width="15.7109375" customWidth="1"/>
    <col min="17" max="17" width="19.42578125" customWidth="1"/>
    <col min="18" max="19" width="9.140625" customWidth="1"/>
  </cols>
  <sheetData>
    <row r="1" spans="1:19" s="14" customFormat="1" ht="60" customHeight="1" thickBot="1" x14ac:dyDescent="0.3">
      <c r="A1" s="99" t="s">
        <v>6</v>
      </c>
      <c r="B1" s="222" t="s">
        <v>7</v>
      </c>
      <c r="C1" s="99" t="s">
        <v>453</v>
      </c>
      <c r="D1" s="211" t="s">
        <v>113</v>
      </c>
      <c r="E1" s="99" t="s">
        <v>111</v>
      </c>
      <c r="F1" s="211" t="s">
        <v>112</v>
      </c>
      <c r="G1" s="99" t="s">
        <v>116</v>
      </c>
      <c r="H1" s="211" t="s">
        <v>117</v>
      </c>
      <c r="I1" s="99" t="s">
        <v>254</v>
      </c>
      <c r="J1" s="299" t="s">
        <v>255</v>
      </c>
      <c r="K1" s="99" t="s">
        <v>258</v>
      </c>
      <c r="L1" s="222" t="s">
        <v>259</v>
      </c>
      <c r="M1" s="455" t="s">
        <v>8</v>
      </c>
      <c r="N1" s="456" t="s">
        <v>256</v>
      </c>
      <c r="O1" s="424" t="s">
        <v>405</v>
      </c>
      <c r="P1" s="425" t="s">
        <v>406</v>
      </c>
      <c r="Q1" s="457" t="s">
        <v>475</v>
      </c>
    </row>
    <row r="2" spans="1:19" x14ac:dyDescent="0.25">
      <c r="A2" s="19">
        <v>2016</v>
      </c>
      <c r="B2" s="223" t="s">
        <v>109</v>
      </c>
      <c r="C2" s="101">
        <v>0</v>
      </c>
      <c r="D2" s="212">
        <v>0</v>
      </c>
      <c r="E2" s="216">
        <f>'TOTAL Travel Time'!I4</f>
        <v>0</v>
      </c>
      <c r="F2" s="217">
        <v>0</v>
      </c>
      <c r="G2" s="216">
        <f>'TOTAL Safety Benefits'!M6</f>
        <v>0</v>
      </c>
      <c r="H2" s="217">
        <v>0</v>
      </c>
      <c r="I2" s="272">
        <f>'TOTAL Emissions'!M4</f>
        <v>0</v>
      </c>
      <c r="J2" s="273">
        <v>0</v>
      </c>
      <c r="K2" s="272">
        <f>'TOTAL Fuel Savings'!D4</f>
        <v>0</v>
      </c>
      <c r="L2" s="275">
        <f>K2/((1+0.07)^(0))</f>
        <v>0</v>
      </c>
      <c r="M2" s="216">
        <f>'Operations &amp; Maintenance Costs'!H5</f>
        <v>0</v>
      </c>
      <c r="N2" s="273">
        <f>M2/((1+0.07)^(0))</f>
        <v>0</v>
      </c>
      <c r="O2" s="448">
        <f>'ITS &amp; Connected Veh Savings'!AD5</f>
        <v>0</v>
      </c>
      <c r="P2" s="219">
        <v>0</v>
      </c>
      <c r="Q2" s="430">
        <f>D2+F2+H2+J2+L2+N2+P2</f>
        <v>0</v>
      </c>
    </row>
    <row r="3" spans="1:19" x14ac:dyDescent="0.25">
      <c r="A3" s="13">
        <v>2017</v>
      </c>
      <c r="B3" s="224" t="s">
        <v>232</v>
      </c>
      <c r="C3" s="104">
        <v>-100000</v>
      </c>
      <c r="D3" s="214">
        <f>C3/((1+0.07)^1)</f>
        <v>-93457.943925233645</v>
      </c>
      <c r="E3" s="216">
        <f>'TOTAL Travel Time'!I5</f>
        <v>0</v>
      </c>
      <c r="F3" s="218">
        <v>0</v>
      </c>
      <c r="G3" s="216">
        <f>'TOTAL Safety Benefits'!M7</f>
        <v>0</v>
      </c>
      <c r="H3" s="217">
        <v>0</v>
      </c>
      <c r="I3" s="272">
        <f>'TOTAL Emissions'!M5</f>
        <v>0</v>
      </c>
      <c r="J3" s="273">
        <v>0</v>
      </c>
      <c r="K3" s="272">
        <f>'TOTAL Fuel Savings'!D5</f>
        <v>0</v>
      </c>
      <c r="L3" s="275">
        <f>K3/((1+0.07)^(1))</f>
        <v>0</v>
      </c>
      <c r="M3" s="216">
        <f>'Operations &amp; Maintenance Costs'!H6</f>
        <v>0</v>
      </c>
      <c r="N3" s="273">
        <f>M3/((1+0.07)^(1))</f>
        <v>0</v>
      </c>
      <c r="O3" s="448">
        <f>'ITS &amp; Connected Veh Savings'!AD6</f>
        <v>0</v>
      </c>
      <c r="P3" s="219">
        <v>0</v>
      </c>
      <c r="Q3" s="431">
        <f t="shared" ref="Q3:Q28" si="0">D3+F3+H3+J3+L3+N3+P3</f>
        <v>-93457.943925233645</v>
      </c>
    </row>
    <row r="4" spans="1:19" x14ac:dyDescent="0.25">
      <c r="A4" s="13">
        <v>2018</v>
      </c>
      <c r="B4" s="224" t="s">
        <v>109</v>
      </c>
      <c r="C4" s="104">
        <v>0</v>
      </c>
      <c r="D4" s="213">
        <v>0</v>
      </c>
      <c r="E4" s="216">
        <f>'TOTAL Travel Time'!I6</f>
        <v>0</v>
      </c>
      <c r="F4" s="218">
        <v>0</v>
      </c>
      <c r="G4" s="216">
        <f>'TOTAL Safety Benefits'!M8</f>
        <v>0</v>
      </c>
      <c r="H4" s="217">
        <v>0</v>
      </c>
      <c r="I4" s="272">
        <f>'TOTAL Emissions'!M6</f>
        <v>0</v>
      </c>
      <c r="J4" s="273">
        <v>0</v>
      </c>
      <c r="K4" s="272">
        <f>'TOTAL Fuel Savings'!D6</f>
        <v>0</v>
      </c>
      <c r="L4" s="275">
        <f>K4/((1+0.07)^(2))</f>
        <v>0</v>
      </c>
      <c r="M4" s="216">
        <f>'Operations &amp; Maintenance Costs'!H7</f>
        <v>0</v>
      </c>
      <c r="N4" s="273">
        <f>M4/((1+0.07)^(2))</f>
        <v>0</v>
      </c>
      <c r="O4" s="448">
        <f>'ITS &amp; Connected Veh Savings'!AD7</f>
        <v>0</v>
      </c>
      <c r="P4" s="219">
        <v>0</v>
      </c>
      <c r="Q4" s="431">
        <f t="shared" si="0"/>
        <v>0</v>
      </c>
    </row>
    <row r="5" spans="1:19" x14ac:dyDescent="0.25">
      <c r="A5" s="13">
        <v>2019</v>
      </c>
      <c r="B5" s="224" t="s">
        <v>109</v>
      </c>
      <c r="C5" s="102">
        <v>0</v>
      </c>
      <c r="D5" s="213">
        <v>0</v>
      </c>
      <c r="E5" s="216">
        <f>'TOTAL Travel Time'!I7</f>
        <v>0</v>
      </c>
      <c r="F5" s="218">
        <v>0</v>
      </c>
      <c r="G5" s="216">
        <f>'TOTAL Safety Benefits'!M9</f>
        <v>0</v>
      </c>
      <c r="H5" s="217">
        <v>0</v>
      </c>
      <c r="I5" s="272">
        <f>'TOTAL Emissions'!M7</f>
        <v>0</v>
      </c>
      <c r="J5" s="273">
        <v>0</v>
      </c>
      <c r="K5" s="272">
        <f>'TOTAL Fuel Savings'!D7</f>
        <v>0</v>
      </c>
      <c r="L5" s="275">
        <f>K5/((1+0.07)^(3))</f>
        <v>0</v>
      </c>
      <c r="M5" s="216">
        <f>'Operations &amp; Maintenance Costs'!H8</f>
        <v>0</v>
      </c>
      <c r="N5" s="273">
        <f>M5/((1+0.07)^(3))</f>
        <v>0</v>
      </c>
      <c r="O5" s="448">
        <f>'ITS &amp; Connected Veh Savings'!AD8</f>
        <v>0</v>
      </c>
      <c r="P5" s="219">
        <v>0</v>
      </c>
      <c r="Q5" s="431">
        <f t="shared" si="0"/>
        <v>0</v>
      </c>
    </row>
    <row r="6" spans="1:19" x14ac:dyDescent="0.25">
      <c r="A6" s="97" t="s">
        <v>107</v>
      </c>
      <c r="B6" s="224" t="s">
        <v>110</v>
      </c>
      <c r="C6" s="104">
        <f>-216860000/3</f>
        <v>-72286666.666666672</v>
      </c>
      <c r="D6" s="214">
        <f>C6/((1+0.07)^4)</f>
        <v>-55147151.894875444</v>
      </c>
      <c r="E6" s="216">
        <f>'TOTAL Travel Time'!I8</f>
        <v>0</v>
      </c>
      <c r="F6" s="218">
        <v>0</v>
      </c>
      <c r="G6" s="216">
        <f>'TOTAL Safety Benefits'!M10</f>
        <v>0</v>
      </c>
      <c r="H6" s="217">
        <v>0</v>
      </c>
      <c r="I6" s="272">
        <f>'TOTAL Emissions'!M8</f>
        <v>0</v>
      </c>
      <c r="J6" s="273">
        <v>0</v>
      </c>
      <c r="K6" s="272">
        <f>'TOTAL Fuel Savings'!D8</f>
        <v>0</v>
      </c>
      <c r="L6" s="275">
        <f>K6/((1+0.07)^(4))</f>
        <v>0</v>
      </c>
      <c r="M6" s="216">
        <f>'Operations &amp; Maintenance Costs'!H9</f>
        <v>0</v>
      </c>
      <c r="N6" s="273">
        <f>M6/((1+0.07)^(4))</f>
        <v>0</v>
      </c>
      <c r="O6" s="448">
        <f>'ITS &amp; Connected Veh Savings'!AD9</f>
        <v>0</v>
      </c>
      <c r="P6" s="219">
        <v>0</v>
      </c>
      <c r="Q6" s="431">
        <f t="shared" si="0"/>
        <v>-55147151.894875444</v>
      </c>
    </row>
    <row r="7" spans="1:19" x14ac:dyDescent="0.25">
      <c r="A7" s="97">
        <v>2021</v>
      </c>
      <c r="B7" s="224" t="s">
        <v>110</v>
      </c>
      <c r="C7" s="104">
        <f t="shared" ref="C7:C8" si="1">-216860000/3</f>
        <v>-72286666.666666672</v>
      </c>
      <c r="D7" s="214">
        <f>C7/((1+0.07)^5)</f>
        <v>-51539394.294276111</v>
      </c>
      <c r="E7" s="216">
        <f>'TOTAL Travel Time'!I9</f>
        <v>0</v>
      </c>
      <c r="F7" s="218">
        <v>0</v>
      </c>
      <c r="G7" s="216">
        <f>'TOTAL Safety Benefits'!M11</f>
        <v>0</v>
      </c>
      <c r="H7" s="217">
        <v>0</v>
      </c>
      <c r="I7" s="272">
        <f>'TOTAL Emissions'!M9</f>
        <v>0</v>
      </c>
      <c r="J7" s="273">
        <v>0</v>
      </c>
      <c r="K7" s="272">
        <f>'TOTAL Fuel Savings'!D9</f>
        <v>0</v>
      </c>
      <c r="L7" s="275">
        <f>K7/((1+0.07)^(5))</f>
        <v>0</v>
      </c>
      <c r="M7" s="216">
        <f>'Operations &amp; Maintenance Costs'!H10</f>
        <v>0</v>
      </c>
      <c r="N7" s="273">
        <f>M7/((1+0.07)^(5))</f>
        <v>0</v>
      </c>
      <c r="O7" s="448">
        <f>'ITS &amp; Connected Veh Savings'!AD10</f>
        <v>0</v>
      </c>
      <c r="P7" s="219">
        <v>0</v>
      </c>
      <c r="Q7" s="431">
        <f t="shared" si="0"/>
        <v>-51539394.294276111</v>
      </c>
    </row>
    <row r="8" spans="1:19" x14ac:dyDescent="0.25">
      <c r="A8" s="97" t="s">
        <v>108</v>
      </c>
      <c r="B8" s="224" t="s">
        <v>110</v>
      </c>
      <c r="C8" s="104">
        <f t="shared" si="1"/>
        <v>-72286666.666666672</v>
      </c>
      <c r="D8" s="214">
        <f>C8/((1+0.07)^6)</f>
        <v>-48167658.218949638</v>
      </c>
      <c r="E8" s="216">
        <f>'TOTAL Travel Time'!I10</f>
        <v>0</v>
      </c>
      <c r="F8" s="218">
        <v>0</v>
      </c>
      <c r="G8" s="216">
        <f>'TOTAL Safety Benefits'!M12</f>
        <v>0</v>
      </c>
      <c r="H8" s="217">
        <v>0</v>
      </c>
      <c r="I8" s="272">
        <f>'TOTAL Emissions'!M10</f>
        <v>0</v>
      </c>
      <c r="J8" s="273">
        <v>0</v>
      </c>
      <c r="K8" s="272">
        <f>'TOTAL Fuel Savings'!D10</f>
        <v>0</v>
      </c>
      <c r="L8" s="275">
        <f>K8/((1+0.07)^(6))</f>
        <v>0</v>
      </c>
      <c r="M8" s="216">
        <f>'Operations &amp; Maintenance Costs'!H11</f>
        <v>0</v>
      </c>
      <c r="N8" s="273">
        <f>M8/((1+0.07)^(6))</f>
        <v>0</v>
      </c>
      <c r="O8" s="448">
        <f>'ITS &amp; Connected Veh Savings'!AD11</f>
        <v>0</v>
      </c>
      <c r="P8" s="219">
        <v>0</v>
      </c>
      <c r="Q8" s="431">
        <f t="shared" si="0"/>
        <v>-48167658.218949638</v>
      </c>
    </row>
    <row r="9" spans="1:19" x14ac:dyDescent="0.25">
      <c r="A9" s="13">
        <v>2023</v>
      </c>
      <c r="B9" s="224">
        <v>1</v>
      </c>
      <c r="C9" s="102">
        <v>0</v>
      </c>
      <c r="D9" s="213">
        <v>0</v>
      </c>
      <c r="E9" s="216">
        <f>'TOTAL Travel Time'!I11</f>
        <v>36075491.643249422</v>
      </c>
      <c r="F9" s="219">
        <f t="shared" ref="F9:F28" si="2">E9/((1+0.07)^(B9+6))</f>
        <v>22466003.109193303</v>
      </c>
      <c r="G9" s="216">
        <f>'TOTAL Safety Benefits'!M13</f>
        <v>29392912.631485388</v>
      </c>
      <c r="H9" s="227">
        <f>G9/((1+0.07)^(B9+6))</f>
        <v>18304428.754493862</v>
      </c>
      <c r="I9" s="216">
        <f>'TOTAL Emissions'!M11</f>
        <v>599077.95692535827</v>
      </c>
      <c r="J9" s="449">
        <f>I9/((1+0.07)^(B9+6))</f>
        <v>373075.64304401504</v>
      </c>
      <c r="K9" s="216">
        <f>'TOTAL Fuel Savings'!D11</f>
        <v>2275636.7441817047</v>
      </c>
      <c r="L9" s="453">
        <f>K9/((1+0.07)^(B9+6))</f>
        <v>1417152.1950622478</v>
      </c>
      <c r="M9" s="216">
        <f>'Operations &amp; Maintenance Costs'!H12</f>
        <v>5860220.7655842863</v>
      </c>
      <c r="N9" s="449">
        <f t="shared" ref="N9:N28" si="3">M9/((1+0.07)^(B9+6))</f>
        <v>3649450.9691543351</v>
      </c>
      <c r="O9" s="448">
        <f>'ITS &amp; Connected Veh Savings'!AD12</f>
        <v>4181087.789862697</v>
      </c>
      <c r="P9" s="219">
        <f t="shared" ref="P9:P28" si="4">O9/((1+0.07)^(B9+6))</f>
        <v>2603771.3419338102</v>
      </c>
      <c r="Q9" s="431">
        <f t="shared" si="0"/>
        <v>48813882.012881577</v>
      </c>
      <c r="S9" s="439"/>
    </row>
    <row r="10" spans="1:19" x14ac:dyDescent="0.25">
      <c r="A10" s="13">
        <v>2024</v>
      </c>
      <c r="B10" s="224">
        <v>2</v>
      </c>
      <c r="C10" s="102">
        <v>0</v>
      </c>
      <c r="D10" s="213">
        <v>0</v>
      </c>
      <c r="E10" s="216">
        <f>'TOTAL Travel Time'!I12</f>
        <v>36616624.017898165</v>
      </c>
      <c r="F10" s="219">
        <f t="shared" si="2"/>
        <v>21311208.556851592</v>
      </c>
      <c r="G10" s="216">
        <f>'TOTAL Safety Benefits'!M14</f>
        <v>29833806.320957668</v>
      </c>
      <c r="H10" s="227">
        <f t="shared" ref="H10:H28" si="5">G10/((1+0.07)^(B10+6))</f>
        <v>17363546.902627356</v>
      </c>
      <c r="I10" s="216">
        <f>'TOTAL Emissions'!M12</f>
        <v>611309.39463432808</v>
      </c>
      <c r="J10" s="449">
        <f t="shared" ref="J10:J28" si="6">I10/((1+0.07)^(B10+6))</f>
        <v>355787.63338332099</v>
      </c>
      <c r="K10" s="216">
        <f>'TOTAL Fuel Savings'!D12</f>
        <v>2309771.29534443</v>
      </c>
      <c r="L10" s="453">
        <f t="shared" ref="L10:L28" si="7">K10/((1+0.07)^(B10+6))</f>
        <v>1344307.9233534406</v>
      </c>
      <c r="M10" s="216">
        <f>'Operations &amp; Maintenance Costs'!H13</f>
        <v>6006726.2847238928</v>
      </c>
      <c r="N10" s="449">
        <f t="shared" si="3"/>
        <v>3495969.386339433</v>
      </c>
      <c r="O10" s="448">
        <f>'ITS &amp; Connected Veh Savings'!AD13</f>
        <v>7374442.5830126861</v>
      </c>
      <c r="P10" s="219">
        <f t="shared" si="4"/>
        <v>4291992.7244055029</v>
      </c>
      <c r="Q10" s="431">
        <f t="shared" si="0"/>
        <v>48162813.126960643</v>
      </c>
    </row>
    <row r="11" spans="1:19" x14ac:dyDescent="0.25">
      <c r="A11" s="13">
        <v>2025</v>
      </c>
      <c r="B11" s="224">
        <v>3</v>
      </c>
      <c r="C11" s="102">
        <v>0</v>
      </c>
      <c r="D11" s="213">
        <v>0</v>
      </c>
      <c r="E11" s="216">
        <f>'TOTAL Travel Time'!I13</f>
        <v>37165873.378166638</v>
      </c>
      <c r="F11" s="219">
        <f t="shared" si="2"/>
        <v>20215772.602994733</v>
      </c>
      <c r="G11" s="216">
        <f>'TOTAL Safety Benefits'!M15</f>
        <v>30281313.415772028</v>
      </c>
      <c r="H11" s="227">
        <f t="shared" si="5"/>
        <v>16471028.136604451</v>
      </c>
      <c r="I11" s="216">
        <f>'TOTAL Emissions'!M13</f>
        <v>623772.98293425876</v>
      </c>
      <c r="J11" s="449">
        <f t="shared" si="6"/>
        <v>339291.17313030927</v>
      </c>
      <c r="K11" s="216">
        <f>'TOTAL Fuel Savings'!D13</f>
        <v>2344417.8647745964</v>
      </c>
      <c r="L11" s="453">
        <f t="shared" si="7"/>
        <v>1275207.9833679833</v>
      </c>
      <c r="M11" s="216">
        <f>'Operations &amp; Maintenance Costs'!H14</f>
        <v>6156894.4418419898</v>
      </c>
      <c r="N11" s="449">
        <f t="shared" si="3"/>
        <v>3348942.6364466525</v>
      </c>
      <c r="O11" s="448">
        <f>'ITS &amp; Connected Veh Savings'!AD14</f>
        <v>10903315.226454597</v>
      </c>
      <c r="P11" s="219">
        <f t="shared" si="4"/>
        <v>5930681.0577001758</v>
      </c>
      <c r="Q11" s="431">
        <f t="shared" si="0"/>
        <v>47580923.590244308</v>
      </c>
    </row>
    <row r="12" spans="1:19" x14ac:dyDescent="0.25">
      <c r="A12" s="13">
        <v>2026</v>
      </c>
      <c r="B12" s="224">
        <v>4</v>
      </c>
      <c r="C12" s="102">
        <v>0</v>
      </c>
      <c r="D12" s="213">
        <v>0</v>
      </c>
      <c r="E12" s="216">
        <f>'TOTAL Travel Time'!I14</f>
        <v>37723361.478839129</v>
      </c>
      <c r="F12" s="219">
        <f t="shared" si="2"/>
        <v>19176644.104709953</v>
      </c>
      <c r="G12" s="216">
        <f>'TOTAL Safety Benefits'!M16</f>
        <v>30735533.117008604</v>
      </c>
      <c r="H12" s="227">
        <f t="shared" si="5"/>
        <v>15624386.503414501</v>
      </c>
      <c r="I12" s="216">
        <f>'TOTAL Emissions'!M14</f>
        <v>636472.93426939473</v>
      </c>
      <c r="J12" s="449">
        <f t="shared" si="6"/>
        <v>323550.56559875357</v>
      </c>
      <c r="K12" s="216">
        <f>'TOTAL Fuel Savings'!D14</f>
        <v>2379584.132746215</v>
      </c>
      <c r="L12" s="453">
        <f t="shared" si="7"/>
        <v>1209659.9094565448</v>
      </c>
      <c r="M12" s="216">
        <f>'Operations &amp; Maintenance Costs'!H15</f>
        <v>6310816.8028880386</v>
      </c>
      <c r="N12" s="449">
        <f t="shared" si="3"/>
        <v>3208099.2545400173</v>
      </c>
      <c r="O12" s="448">
        <f>'ITS &amp; Connected Veh Savings'!AD15</f>
        <v>15187261.413391991</v>
      </c>
      <c r="P12" s="219">
        <f t="shared" si="4"/>
        <v>7720433.5889627319</v>
      </c>
      <c r="Q12" s="431">
        <f t="shared" si="0"/>
        <v>47262773.926682502</v>
      </c>
    </row>
    <row r="13" spans="1:19" x14ac:dyDescent="0.25">
      <c r="A13" s="13">
        <v>2027</v>
      </c>
      <c r="B13" s="224">
        <v>5</v>
      </c>
      <c r="C13" s="102">
        <v>0</v>
      </c>
      <c r="D13" s="213">
        <v>0</v>
      </c>
      <c r="E13" s="216">
        <f>'TOTAL Travel Time'!I15</f>
        <v>38289211.901021712</v>
      </c>
      <c r="F13" s="219">
        <f t="shared" si="2"/>
        <v>18190928.753533266</v>
      </c>
      <c r="G13" s="216">
        <f>'TOTAL Safety Benefits'!M17</f>
        <v>31196566.113763731</v>
      </c>
      <c r="H13" s="227">
        <f t="shared" si="5"/>
        <v>14821263.832678238</v>
      </c>
      <c r="I13" s="216">
        <f>'TOTAL Emissions'!M15</f>
        <v>649413.53522342455</v>
      </c>
      <c r="J13" s="449">
        <f t="shared" si="6"/>
        <v>308531.69246124529</v>
      </c>
      <c r="K13" s="216">
        <f>'TOTAL Fuel Savings'!D15</f>
        <v>2415277.894737408</v>
      </c>
      <c r="L13" s="453">
        <f t="shared" si="7"/>
        <v>1147481.1290639183</v>
      </c>
      <c r="M13" s="216">
        <f>'Operations &amp; Maintenance Costs'!H16</f>
        <v>6468587.2229602393</v>
      </c>
      <c r="N13" s="449">
        <f t="shared" si="3"/>
        <v>3073179.1924331938</v>
      </c>
      <c r="O13" s="448">
        <f>'ITS &amp; Connected Veh Savings'!AD16</f>
        <v>20258008.313691266</v>
      </c>
      <c r="P13" s="219">
        <f t="shared" si="4"/>
        <v>9624433.8189945631</v>
      </c>
      <c r="Q13" s="431">
        <f t="shared" si="0"/>
        <v>47165818.419164419</v>
      </c>
    </row>
    <row r="14" spans="1:19" x14ac:dyDescent="0.25">
      <c r="A14" s="13">
        <v>2028</v>
      </c>
      <c r="B14" s="224">
        <v>6</v>
      </c>
      <c r="C14" s="102">
        <v>0</v>
      </c>
      <c r="D14" s="213">
        <v>0</v>
      </c>
      <c r="E14" s="216">
        <f>'TOTAL Travel Time'!I16</f>
        <v>38863550.079537034</v>
      </c>
      <c r="F14" s="219">
        <f t="shared" si="2"/>
        <v>17255881.013865672</v>
      </c>
      <c r="G14" s="216">
        <f>'TOTAL Safety Benefits'!M18</f>
        <v>31664514.605470181</v>
      </c>
      <c r="H14" s="227">
        <f t="shared" si="5"/>
        <v>14059423.168381693</v>
      </c>
      <c r="I14" s="216">
        <f>'TOTAL Emissions'!M16</f>
        <v>662599.14779586461</v>
      </c>
      <c r="J14" s="449">
        <f t="shared" si="6"/>
        <v>294201.94580408337</v>
      </c>
      <c r="K14" s="216">
        <f>'TOTAL Fuel Savings'!D16</f>
        <v>2451507.0631584688</v>
      </c>
      <c r="L14" s="453">
        <f t="shared" si="7"/>
        <v>1088498.4542054927</v>
      </c>
      <c r="M14" s="216">
        <f>'Operations &amp; Maintenance Costs'!H17</f>
        <v>6630301.9035342447</v>
      </c>
      <c r="N14" s="449">
        <f t="shared" si="3"/>
        <v>2943933.3385458165</v>
      </c>
      <c r="O14" s="448">
        <f>'ITS &amp; Connected Veh Savings'!AD17</f>
        <v>25170798.290827759</v>
      </c>
      <c r="P14" s="219">
        <f t="shared" si="4"/>
        <v>11176135.464763785</v>
      </c>
      <c r="Q14" s="431">
        <f t="shared" si="0"/>
        <v>46818073.38556654</v>
      </c>
    </row>
    <row r="15" spans="1:19" x14ac:dyDescent="0.25">
      <c r="A15" s="13">
        <v>2029</v>
      </c>
      <c r="B15" s="224">
        <v>7</v>
      </c>
      <c r="C15" s="102">
        <v>0</v>
      </c>
      <c r="D15" s="213">
        <v>0</v>
      </c>
      <c r="E15" s="216">
        <f>'TOTAL Travel Time'!I17</f>
        <v>39446503.330730081</v>
      </c>
      <c r="F15" s="219">
        <f t="shared" si="2"/>
        <v>16368896.475769768</v>
      </c>
      <c r="G15" s="216">
        <f>'TOTAL Safety Benefits'!M19</f>
        <v>32139482.324552231</v>
      </c>
      <c r="H15" s="227">
        <f t="shared" si="5"/>
        <v>13336742.538231229</v>
      </c>
      <c r="I15" s="216">
        <f>'TOTAL Emissions'!M17</f>
        <v>676034.21070005267</v>
      </c>
      <c r="J15" s="449">
        <f t="shared" si="6"/>
        <v>280530.16299691069</v>
      </c>
      <c r="K15" s="216">
        <f>'TOTAL Fuel Savings'!D17</f>
        <v>2488279.6691058455</v>
      </c>
      <c r="L15" s="453">
        <f t="shared" si="7"/>
        <v>1032547.5990827803</v>
      </c>
      <c r="M15" s="216">
        <f>'Operations &amp; Maintenance Costs'!H18</f>
        <v>6796059.4511226006</v>
      </c>
      <c r="N15" s="449">
        <f t="shared" si="3"/>
        <v>2820123.0579527682</v>
      </c>
      <c r="O15" s="448">
        <f>'ITS &amp; Connected Veh Savings'!AD18</f>
        <v>30699357.421091564</v>
      </c>
      <c r="P15" s="219">
        <f t="shared" si="4"/>
        <v>12739141.902776141</v>
      </c>
      <c r="Q15" s="431">
        <f t="shared" si="0"/>
        <v>46577981.736809596</v>
      </c>
    </row>
    <row r="16" spans="1:19" x14ac:dyDescent="0.25">
      <c r="A16" s="13">
        <v>2030</v>
      </c>
      <c r="B16" s="224">
        <v>8</v>
      </c>
      <c r="C16" s="102">
        <v>0</v>
      </c>
      <c r="D16" s="213">
        <v>0</v>
      </c>
      <c r="E16" s="216">
        <f>'TOTAL Travel Time'!I18</f>
        <v>40038200.880691029</v>
      </c>
      <c r="F16" s="219">
        <f t="shared" si="2"/>
        <v>15527504.600847023</v>
      </c>
      <c r="G16" s="216">
        <f>'TOTAL Safety Benefits'!M20</f>
        <v>32621574.559420511</v>
      </c>
      <c r="H16" s="227">
        <f t="shared" si="5"/>
        <v>12651209.043275418</v>
      </c>
      <c r="I16" s="216">
        <f>'TOTAL Emissions'!M18</f>
        <v>689723.24068311229</v>
      </c>
      <c r="J16" s="449">
        <f t="shared" si="6"/>
        <v>267486.56426725292</v>
      </c>
      <c r="K16" s="216">
        <f>'TOTAL Fuel Savings'!D18</f>
        <v>2525603.8641424333</v>
      </c>
      <c r="L16" s="453">
        <f t="shared" si="7"/>
        <v>979472.72249441314</v>
      </c>
      <c r="M16" s="216">
        <f>'Operations &amp; Maintenance Costs'!H19</f>
        <v>6965960.9374006651</v>
      </c>
      <c r="N16" s="449">
        <f t="shared" si="3"/>
        <v>2701519.7517771842</v>
      </c>
      <c r="O16" s="448">
        <f>'ITS &amp; Connected Veh Savings'!AD19</f>
        <v>36868224.49892547</v>
      </c>
      <c r="P16" s="219">
        <f t="shared" si="4"/>
        <v>14298133.106380621</v>
      </c>
      <c r="Q16" s="431">
        <f t="shared" si="0"/>
        <v>46425325.789041907</v>
      </c>
    </row>
    <row r="17" spans="1:17" x14ac:dyDescent="0.25">
      <c r="A17" s="13">
        <v>2031</v>
      </c>
      <c r="B17" s="224">
        <v>9</v>
      </c>
      <c r="C17" s="102">
        <v>0</v>
      </c>
      <c r="D17" s="213">
        <v>0</v>
      </c>
      <c r="E17" s="216">
        <f>'TOTAL Travel Time'!I19</f>
        <v>40638773.8939014</v>
      </c>
      <c r="F17" s="219">
        <f t="shared" si="2"/>
        <v>14729361.8409904</v>
      </c>
      <c r="G17" s="216">
        <f>'TOTAL Safety Benefits'!M21</f>
        <v>33110898.177811816</v>
      </c>
      <c r="H17" s="227">
        <f t="shared" si="5"/>
        <v>12000913.251331352</v>
      </c>
      <c r="I17" s="216">
        <f>'TOTAL Emissions'!M19</f>
        <v>714476.06759294774</v>
      </c>
      <c r="J17" s="449">
        <f t="shared" si="6"/>
        <v>258959.00682878942</v>
      </c>
      <c r="K17" s="216">
        <f>'TOTAL Fuel Savings'!D19</f>
        <v>2563487.9221045696</v>
      </c>
      <c r="L17" s="453">
        <f t="shared" si="7"/>
        <v>929125.99376806465</v>
      </c>
      <c r="M17" s="216">
        <f>'Operations &amp; Maintenance Costs'!H20</f>
        <v>7006109.9608356813</v>
      </c>
      <c r="N17" s="449">
        <f t="shared" si="3"/>
        <v>2539336.6684815809</v>
      </c>
      <c r="O17" s="448">
        <f>'ITS &amp; Connected Veh Savings'!AD20</f>
        <v>43709656.399893582</v>
      </c>
      <c r="P17" s="219">
        <f t="shared" si="4"/>
        <v>15842390.982076621</v>
      </c>
      <c r="Q17" s="431">
        <f t="shared" si="0"/>
        <v>46300087.743476808</v>
      </c>
    </row>
    <row r="18" spans="1:17" x14ac:dyDescent="0.25">
      <c r="A18" s="13">
        <v>2032</v>
      </c>
      <c r="B18" s="224">
        <v>10</v>
      </c>
      <c r="C18" s="102">
        <v>0</v>
      </c>
      <c r="D18" s="213">
        <v>0</v>
      </c>
      <c r="E18" s="216">
        <f>'TOTAL Travel Time'!I20</f>
        <v>41248355.502309918</v>
      </c>
      <c r="F18" s="219">
        <f t="shared" si="2"/>
        <v>13972245.110846035</v>
      </c>
      <c r="G18" s="216">
        <f>'TOTAL Safety Benefits'!M22</f>
        <v>33607561.650478989</v>
      </c>
      <c r="H18" s="227">
        <f t="shared" si="5"/>
        <v>11384043.878599368</v>
      </c>
      <c r="I18" s="216">
        <f>'TOTAL Emissions'!M20</f>
        <v>739816.29158092476</v>
      </c>
      <c r="J18" s="449">
        <f t="shared" si="6"/>
        <v>250601.37397203513</v>
      </c>
      <c r="K18" s="216">
        <f>'TOTAL Fuel Savings'!D20</f>
        <v>2601940.2409361382</v>
      </c>
      <c r="L18" s="453">
        <f t="shared" si="7"/>
        <v>881367.1810042857</v>
      </c>
      <c r="M18" s="216">
        <f>'Operations &amp; Maintenance Costs'!H21</f>
        <v>7184612.7098565726</v>
      </c>
      <c r="N18" s="449">
        <f t="shared" si="3"/>
        <v>2433676.8965975912</v>
      </c>
      <c r="O18" s="448">
        <f>'ITS &amp; Connected Veh Savings'!AD21</f>
        <v>49831436.573418804</v>
      </c>
      <c r="P18" s="219">
        <f t="shared" si="4"/>
        <v>16879631.625323694</v>
      </c>
      <c r="Q18" s="431">
        <f t="shared" si="0"/>
        <v>45801566.066343009</v>
      </c>
    </row>
    <row r="19" spans="1:17" x14ac:dyDescent="0.25">
      <c r="A19" s="13">
        <v>2033</v>
      </c>
      <c r="B19" s="224">
        <v>11</v>
      </c>
      <c r="C19" s="102">
        <v>0</v>
      </c>
      <c r="D19" s="213">
        <v>0</v>
      </c>
      <c r="E19" s="216">
        <f>'TOTAL Travel Time'!I21</f>
        <v>41867080.834844559</v>
      </c>
      <c r="F19" s="219">
        <f t="shared" si="2"/>
        <v>13254045.595802544</v>
      </c>
      <c r="G19" s="216">
        <f>'TOTAL Safety Benefits'!M23</f>
        <v>34111675.075236171</v>
      </c>
      <c r="H19" s="227">
        <f t="shared" si="5"/>
        <v>10798882.74465267</v>
      </c>
      <c r="I19" s="216">
        <f>'TOTAL Emissions'!M21</f>
        <v>765755.96517333249</v>
      </c>
      <c r="J19" s="449">
        <f t="shared" si="6"/>
        <v>242418.7279190041</v>
      </c>
      <c r="K19" s="216">
        <f>'TOTAL Fuel Savings'!D21</f>
        <v>2640969.3445501798</v>
      </c>
      <c r="L19" s="453">
        <f t="shared" si="7"/>
        <v>836063.26048537367</v>
      </c>
      <c r="M19" s="216">
        <f>'Operations &amp; Maintenance Costs'!H22</f>
        <v>7367578.0276029864</v>
      </c>
      <c r="N19" s="449">
        <f t="shared" si="3"/>
        <v>2332386.5232851864</v>
      </c>
      <c r="O19" s="448">
        <f>'ITS &amp; Connected Veh Savings'!AD22</f>
        <v>56450545.092704214</v>
      </c>
      <c r="P19" s="219">
        <f t="shared" si="4"/>
        <v>17870796.9040896</v>
      </c>
      <c r="Q19" s="431">
        <f t="shared" si="0"/>
        <v>45334593.756234378</v>
      </c>
    </row>
    <row r="20" spans="1:17" x14ac:dyDescent="0.25">
      <c r="A20" s="13">
        <v>2034</v>
      </c>
      <c r="B20" s="224">
        <v>12</v>
      </c>
      <c r="C20" s="102">
        <v>0</v>
      </c>
      <c r="D20" s="213">
        <v>0</v>
      </c>
      <c r="E20" s="216">
        <f>'TOTAL Travel Time'!I22</f>
        <v>42495087.047367215</v>
      </c>
      <c r="F20" s="219">
        <f t="shared" si="2"/>
        <v>12572762.878261289</v>
      </c>
      <c r="G20" s="216">
        <f>'TOTAL Safety Benefits'!M24</f>
        <v>34623350.201364711</v>
      </c>
      <c r="H20" s="227">
        <f t="shared" si="5"/>
        <v>10243799.986749962</v>
      </c>
      <c r="I20" s="216">
        <f>'TOTAL Emissions'!M22</f>
        <v>792307.37030790676</v>
      </c>
      <c r="J20" s="449">
        <f t="shared" si="6"/>
        <v>234415.16150976409</v>
      </c>
      <c r="K20" s="216">
        <f>'TOTAL Fuel Savings'!D22</f>
        <v>2680583.8847184326</v>
      </c>
      <c r="L20" s="453">
        <f t="shared" si="7"/>
        <v>793088.04616135918</v>
      </c>
      <c r="M20" s="216">
        <f>'Operations &amp; Maintenance Costs'!H23</f>
        <v>7555117.4782930603</v>
      </c>
      <c r="N20" s="449">
        <f t="shared" si="3"/>
        <v>2235286.6453975425</v>
      </c>
      <c r="O20" s="448">
        <f>'ITS &amp; Connected Veh Savings'!AD23</f>
        <v>63585586.118348509</v>
      </c>
      <c r="P20" s="219">
        <f t="shared" si="4"/>
        <v>18812680.530578844</v>
      </c>
      <c r="Q20" s="431">
        <f t="shared" si="0"/>
        <v>44892033.248658761</v>
      </c>
    </row>
    <row r="21" spans="1:17" x14ac:dyDescent="0.25">
      <c r="A21" s="13">
        <v>2035</v>
      </c>
      <c r="B21" s="224">
        <v>13</v>
      </c>
      <c r="C21" s="102">
        <v>0</v>
      </c>
      <c r="D21" s="213">
        <v>0</v>
      </c>
      <c r="E21" s="216">
        <f>'TOTAL Travel Time'!I23</f>
        <v>43132513.353077725</v>
      </c>
      <c r="F21" s="219">
        <f t="shared" si="2"/>
        <v>11926499.365827296</v>
      </c>
      <c r="G21" s="216">
        <f>'TOTAL Safety Benefits'!M25</f>
        <v>35142700.454385184</v>
      </c>
      <c r="H21" s="227">
        <f t="shared" si="5"/>
        <v>9717249.5201413184</v>
      </c>
      <c r="I21" s="216">
        <f>'TOTAL Emissions'!M23</f>
        <v>819483.02250435436</v>
      </c>
      <c r="J21" s="449">
        <f t="shared" si="6"/>
        <v>226593.88448336328</v>
      </c>
      <c r="K21" s="216">
        <f>'TOTAL Fuel Savings'!D23</f>
        <v>2720792.6429892089</v>
      </c>
      <c r="L21" s="453">
        <f t="shared" si="7"/>
        <v>752321.8381811023</v>
      </c>
      <c r="M21" s="216">
        <f>'Operations &amp; Maintenance Costs'!H24</f>
        <v>7747345.4152503861</v>
      </c>
      <c r="N21" s="449">
        <f t="shared" si="3"/>
        <v>2142205.5660300544</v>
      </c>
      <c r="O21" s="448">
        <f>'ITS &amp; Connected Veh Savings'!AD24</f>
        <v>69549027.942902237</v>
      </c>
      <c r="P21" s="219">
        <f t="shared" si="4"/>
        <v>19230885.779016193</v>
      </c>
      <c r="Q21" s="431">
        <f t="shared" si="0"/>
        <v>43995755.953679323</v>
      </c>
    </row>
    <row r="22" spans="1:17" x14ac:dyDescent="0.25">
      <c r="A22" s="13">
        <v>2036</v>
      </c>
      <c r="B22" s="224">
        <v>14</v>
      </c>
      <c r="C22" s="102">
        <v>0</v>
      </c>
      <c r="D22" s="213">
        <v>0</v>
      </c>
      <c r="E22" s="216">
        <f>'TOTAL Travel Time'!I24</f>
        <v>43779501.053373888</v>
      </c>
      <c r="F22" s="219">
        <f t="shared" si="2"/>
        <v>11313455.005901594</v>
      </c>
      <c r="G22" s="216">
        <f>'TOTAL Safety Benefits'!M26</f>
        <v>35669840.961200953</v>
      </c>
      <c r="H22" s="227">
        <f t="shared" si="5"/>
        <v>9217764.7317228373</v>
      </c>
      <c r="I22" s="216">
        <f>'TOTAL Emissions'!M24</f>
        <v>847295.67510837608</v>
      </c>
      <c r="J22" s="449">
        <f t="shared" si="6"/>
        <v>218957.30345001022</v>
      </c>
      <c r="K22" s="216">
        <f>'TOTAL Fuel Savings'!D24</f>
        <v>2761604.5326340469</v>
      </c>
      <c r="L22" s="453">
        <f t="shared" si="7"/>
        <v>713651.08948955033</v>
      </c>
      <c r="M22" s="447">
        <f>'Operations &amp; Maintenance Costs'!H25</f>
        <v>7944379.0506316451</v>
      </c>
      <c r="N22" s="450">
        <f t="shared" si="3"/>
        <v>2052978.5122396187</v>
      </c>
      <c r="O22" s="448">
        <f>'ITS &amp; Connected Veh Savings'!AD25</f>
        <v>75868247.90298374</v>
      </c>
      <c r="P22" s="473">
        <f t="shared" si="4"/>
        <v>19605796.968324441</v>
      </c>
      <c r="Q22" s="431">
        <f t="shared" si="0"/>
        <v>43122603.611128047</v>
      </c>
    </row>
    <row r="23" spans="1:17" x14ac:dyDescent="0.25">
      <c r="A23" s="13">
        <v>2037</v>
      </c>
      <c r="B23" s="224">
        <v>15</v>
      </c>
      <c r="C23" s="102">
        <v>0</v>
      </c>
      <c r="D23" s="213">
        <v>0</v>
      </c>
      <c r="E23" s="216">
        <f>'TOTAL Travel Time'!I25</f>
        <v>44436193.569174498</v>
      </c>
      <c r="F23" s="219">
        <f t="shared" si="2"/>
        <v>10731922.271953382</v>
      </c>
      <c r="G23" s="216">
        <f>'TOTAL Safety Benefits'!M27</f>
        <v>36204888.575618967</v>
      </c>
      <c r="H23" s="227">
        <f t="shared" si="5"/>
        <v>8743954.3950454947</v>
      </c>
      <c r="I23" s="216">
        <f>'TOTAL Emissions'!M25</f>
        <v>875758.32361045503</v>
      </c>
      <c r="J23" s="449">
        <f t="shared" si="6"/>
        <v>211507.09597510195</v>
      </c>
      <c r="K23" s="216">
        <f>'TOTAL Fuel Savings'!D25</f>
        <v>2803028.6006235569</v>
      </c>
      <c r="L23" s="453">
        <f t="shared" si="7"/>
        <v>676968.08956251713</v>
      </c>
      <c r="M23" s="447">
        <f>'Operations &amp; Maintenance Costs'!H26</f>
        <v>8146338.526897436</v>
      </c>
      <c r="N23" s="450">
        <f t="shared" si="3"/>
        <v>1967447.363275734</v>
      </c>
      <c r="O23" s="448">
        <f>'ITS &amp; Connected Veh Savings'!AD26</f>
        <v>80689965.934173077</v>
      </c>
      <c r="P23" s="473">
        <f t="shared" si="4"/>
        <v>19487682.74186359</v>
      </c>
      <c r="Q23" s="431">
        <f t="shared" si="0"/>
        <v>41819481.957675815</v>
      </c>
    </row>
    <row r="24" spans="1:17" x14ac:dyDescent="0.25">
      <c r="A24" s="13">
        <v>2038</v>
      </c>
      <c r="B24" s="224">
        <v>16</v>
      </c>
      <c r="C24" s="102">
        <v>0</v>
      </c>
      <c r="D24" s="213">
        <v>0</v>
      </c>
      <c r="E24" s="216">
        <f>'TOTAL Travel Time'!I26</f>
        <v>45102736.472712107</v>
      </c>
      <c r="F24" s="219">
        <f t="shared" si="2"/>
        <v>10180281.407507177</v>
      </c>
      <c r="G24" s="216">
        <f>'TOTAL Safety Benefits'!M28</f>
        <v>36747961.904253244</v>
      </c>
      <c r="H24" s="227">
        <f t="shared" si="5"/>
        <v>8294498.7953001643</v>
      </c>
      <c r="I24" s="216">
        <f>'TOTAL Emissions'!M26</f>
        <v>904884.21004069666</v>
      </c>
      <c r="J24" s="449">
        <f t="shared" si="6"/>
        <v>204244.2791691258</v>
      </c>
      <c r="K24" s="216">
        <f>'TOTAL Fuel Savings'!D26</f>
        <v>2845074.0296329097</v>
      </c>
      <c r="L24" s="453">
        <f t="shared" si="7"/>
        <v>642170.66439808859</v>
      </c>
      <c r="M24" s="448">
        <f>'Operations &amp; Maintenance Costs'!H27</f>
        <v>8353346.9900698718</v>
      </c>
      <c r="N24" s="451">
        <f t="shared" si="3"/>
        <v>1885460.3889702924</v>
      </c>
      <c r="O24" s="448">
        <f>'ITS &amp; Connected Veh Savings'!AD27</f>
        <v>85727437.841988534</v>
      </c>
      <c r="P24" s="219">
        <f t="shared" si="4"/>
        <v>19349811.338033531</v>
      </c>
      <c r="Q24" s="431">
        <f t="shared" si="0"/>
        <v>40556466.873378381</v>
      </c>
    </row>
    <row r="25" spans="1:17" x14ac:dyDescent="0.25">
      <c r="A25" s="13">
        <v>2039</v>
      </c>
      <c r="B25" s="224">
        <v>17</v>
      </c>
      <c r="C25" s="102">
        <v>0</v>
      </c>
      <c r="D25" s="213">
        <v>0</v>
      </c>
      <c r="E25" s="216">
        <f>'TOTAL Travel Time'!I27</f>
        <v>45779277.519802786</v>
      </c>
      <c r="F25" s="219">
        <f t="shared" si="2"/>
        <v>9656995.9145979304</v>
      </c>
      <c r="G25" s="216">
        <f>'TOTAL Safety Benefits'!M29</f>
        <v>37299181.33281704</v>
      </c>
      <c r="H25" s="227">
        <f t="shared" si="5"/>
        <v>7868146.0534856692</v>
      </c>
      <c r="I25" s="216">
        <f>'TOTAL Emissions'!M27</f>
        <v>934686.82744103367</v>
      </c>
      <c r="J25" s="449">
        <f t="shared" si="6"/>
        <v>197169.27315251014</v>
      </c>
      <c r="K25" s="216">
        <f>'TOTAL Fuel Savings'!D27</f>
        <v>2887750.1400774028</v>
      </c>
      <c r="L25" s="453">
        <f t="shared" si="7"/>
        <v>609161.89192902786</v>
      </c>
      <c r="M25" s="216">
        <f>'Operations &amp; Maintenance Costs'!H28</f>
        <v>8565530.6648216173</v>
      </c>
      <c r="N25" s="449">
        <f t="shared" si="3"/>
        <v>1806871.9979419629</v>
      </c>
      <c r="O25" s="448">
        <f>'ITS &amp; Connected Veh Savings'!AD28</f>
        <v>90987430.252560824</v>
      </c>
      <c r="P25" s="219">
        <f t="shared" si="4"/>
        <v>19193514.835367572</v>
      </c>
      <c r="Q25" s="431">
        <f t="shared" si="0"/>
        <v>39331859.966474667</v>
      </c>
    </row>
    <row r="26" spans="1:17" x14ac:dyDescent="0.25">
      <c r="A26" s="13">
        <v>2040</v>
      </c>
      <c r="B26" s="224">
        <v>18</v>
      </c>
      <c r="C26" s="102">
        <v>0</v>
      </c>
      <c r="D26" s="213">
        <v>0</v>
      </c>
      <c r="E26" s="216">
        <f>'TOTAL Travel Time'!I28</f>
        <v>46465966.68259982</v>
      </c>
      <c r="F26" s="219">
        <f t="shared" si="2"/>
        <v>9160608.2741279416</v>
      </c>
      <c r="G26" s="216">
        <f>'TOTAL Safety Benefits'!M30</f>
        <v>37858669.052809291</v>
      </c>
      <c r="H26" s="227">
        <f t="shared" si="5"/>
        <v>7463708.6395214517</v>
      </c>
      <c r="I26" s="216">
        <f>'TOTAL Emissions'!M28</f>
        <v>965179.92441612133</v>
      </c>
      <c r="J26" s="449">
        <f t="shared" si="6"/>
        <v>190281.95974107308</v>
      </c>
      <c r="K26" s="216">
        <f>'TOTAL Fuel Savings'!D28</f>
        <v>2931066.3921785639</v>
      </c>
      <c r="L26" s="453">
        <f t="shared" si="7"/>
        <v>577849.83206351707</v>
      </c>
      <c r="M26" s="216">
        <f>'Operations &amp; Maintenance Costs'!H29</f>
        <v>8783018.9314421564</v>
      </c>
      <c r="N26" s="449">
        <f t="shared" si="3"/>
        <v>1731542.4952801103</v>
      </c>
      <c r="O26" s="448">
        <f>'ITS &amp; Connected Veh Savings'!AD29</f>
        <v>96476885.77421838</v>
      </c>
      <c r="P26" s="219">
        <f t="shared" si="4"/>
        <v>19020091.933573268</v>
      </c>
      <c r="Q26" s="431">
        <f t="shared" si="0"/>
        <v>38144083.134307362</v>
      </c>
    </row>
    <row r="27" spans="1:17" x14ac:dyDescent="0.25">
      <c r="A27" s="13">
        <v>2041</v>
      </c>
      <c r="B27" s="224">
        <v>19</v>
      </c>
      <c r="C27" s="102">
        <v>0</v>
      </c>
      <c r="D27" s="213">
        <v>0</v>
      </c>
      <c r="E27" s="216">
        <f>'TOTAL Travel Time'!I29</f>
        <v>47162956.182838812</v>
      </c>
      <c r="F27" s="219">
        <f t="shared" si="2"/>
        <v>8689735.8862054758</v>
      </c>
      <c r="G27" s="216">
        <f>'TOTAL Safety Benefits'!M31</f>
        <v>38426549.088601425</v>
      </c>
      <c r="H27" s="227">
        <f t="shared" si="5"/>
        <v>7080060.0645927778</v>
      </c>
      <c r="I27" s="216">
        <f>'TOTAL Emissions'!M29</f>
        <v>993590.86201729998</v>
      </c>
      <c r="J27" s="449">
        <f t="shared" si="6"/>
        <v>183068.29912030057</v>
      </c>
      <c r="K27" s="216">
        <f>'TOTAL Fuel Savings'!D29</f>
        <v>2975032.3880612422</v>
      </c>
      <c r="L27" s="453">
        <f t="shared" si="7"/>
        <v>548147.2706023081</v>
      </c>
      <c r="M27" s="216">
        <f>'Operations &amp; Maintenance Costs'!H30</f>
        <v>-7610055.5952717904</v>
      </c>
      <c r="N27" s="449">
        <f t="shared" si="3"/>
        <v>-1402146.4843273447</v>
      </c>
      <c r="O27" s="448">
        <f>'ITS &amp; Connected Veh Savings'!AD30</f>
        <v>100059051.51666236</v>
      </c>
      <c r="P27" s="219">
        <f t="shared" si="4"/>
        <v>18435797.945600439</v>
      </c>
      <c r="Q27" s="431">
        <f t="shared" si="0"/>
        <v>33534662.981793959</v>
      </c>
    </row>
    <row r="28" spans="1:17" ht="15.75" thickBot="1" x14ac:dyDescent="0.3">
      <c r="A28" s="96">
        <v>2042</v>
      </c>
      <c r="B28" s="225">
        <v>20</v>
      </c>
      <c r="C28" s="103">
        <v>0</v>
      </c>
      <c r="D28" s="215">
        <v>0</v>
      </c>
      <c r="E28" s="220">
        <f>'TOTAL Travel Time'!I30</f>
        <v>47870400.52558139</v>
      </c>
      <c r="F28" s="221">
        <f t="shared" si="2"/>
        <v>8243067.21915753</v>
      </c>
      <c r="G28" s="228">
        <f>'TOTAL Safety Benefits'!M32</f>
        <v>39002947.324930444</v>
      </c>
      <c r="H28" s="229">
        <f t="shared" si="5"/>
        <v>6716131.743515579</v>
      </c>
      <c r="I28" s="228">
        <f>'TOTAL Emissions'!M30</f>
        <v>1022636.9622635205</v>
      </c>
      <c r="J28" s="452">
        <f t="shared" si="6"/>
        <v>176093.47588868713</v>
      </c>
      <c r="K28" s="228">
        <f>'TOTAL Fuel Savings'!D30</f>
        <v>3019657.8738821605</v>
      </c>
      <c r="L28" s="454">
        <f t="shared" si="7"/>
        <v>519971.47631901194</v>
      </c>
      <c r="M28" s="228">
        <f>'Operations &amp; Maintenance Costs'!H31</f>
        <v>9234443.0148464143</v>
      </c>
      <c r="N28" s="452">
        <f t="shared" si="3"/>
        <v>1590129.4676275162</v>
      </c>
      <c r="O28" s="474">
        <f>'ITS &amp; Connected Veh Savings'!AD31</f>
        <v>103750731.37995532</v>
      </c>
      <c r="P28" s="221">
        <f t="shared" si="4"/>
        <v>17865408.340268768</v>
      </c>
      <c r="Q28" s="432">
        <f t="shared" si="0"/>
        <v>35110801.722777091</v>
      </c>
    </row>
    <row r="29" spans="1:17" ht="15.75" thickBot="1" x14ac:dyDescent="0.3">
      <c r="A29" s="476" t="s">
        <v>65</v>
      </c>
      <c r="B29" s="477"/>
      <c r="C29" s="98"/>
      <c r="D29" s="230">
        <f>SUM(D2:D28)</f>
        <v>-154947662.35202643</v>
      </c>
      <c r="E29" s="226"/>
      <c r="F29" s="231">
        <f>SUM(F2:F28)</f>
        <v>284943819.98894393</v>
      </c>
      <c r="G29" s="226"/>
      <c r="H29" s="231">
        <f>SUM(H2:H28)</f>
        <v>232161182.68436536</v>
      </c>
      <c r="I29" s="226"/>
      <c r="J29" s="274">
        <f>SUM(J2:J28)</f>
        <v>5136765.2218956547</v>
      </c>
      <c r="K29" s="277"/>
      <c r="L29" s="276">
        <f>SUM(L2:L28)</f>
        <v>17974214.550051026</v>
      </c>
      <c r="M29" s="226"/>
      <c r="N29" s="274">
        <f>SUM(N2:N28)</f>
        <v>46556393.627989247</v>
      </c>
      <c r="O29" s="278"/>
      <c r="P29" s="231">
        <f>SUM(P2:P28)</f>
        <v>289979212.93003392</v>
      </c>
      <c r="Q29" s="433">
        <f>SUM(Q2:Q28)</f>
        <v>721803926.65125263</v>
      </c>
    </row>
    <row r="30" spans="1:17" ht="15.75" thickBot="1" x14ac:dyDescent="0.3">
      <c r="C30" s="232"/>
      <c r="D30" s="232"/>
      <c r="E30" s="232"/>
      <c r="F30" s="232"/>
      <c r="G30" s="232"/>
      <c r="H30" s="232"/>
      <c r="I30" s="232"/>
      <c r="J30" s="232"/>
      <c r="K30" s="232"/>
      <c r="L30" s="232"/>
      <c r="M30" s="232"/>
      <c r="N30" s="232"/>
      <c r="O30" s="232"/>
      <c r="P30" s="426" t="s">
        <v>257</v>
      </c>
      <c r="Q30" s="279">
        <f>ABS((F29+H29+J29+L29+N29+P29)/D29)</f>
        <v>5.6583724832929878</v>
      </c>
    </row>
    <row r="31" spans="1:17" x14ac:dyDescent="0.25">
      <c r="A31" s="21" t="s">
        <v>38</v>
      </c>
    </row>
    <row r="32" spans="1:17" x14ac:dyDescent="0.25">
      <c r="A32" s="2" t="s">
        <v>114</v>
      </c>
      <c r="F32" s="232"/>
      <c r="H32" s="100"/>
      <c r="I32" s="100"/>
      <c r="J32" s="100"/>
      <c r="K32" s="100"/>
      <c r="L32" s="100"/>
    </row>
    <row r="33" spans="1:12" x14ac:dyDescent="0.25">
      <c r="A33" s="2" t="s">
        <v>115</v>
      </c>
      <c r="H33" s="100"/>
      <c r="I33" s="100"/>
      <c r="J33" s="100"/>
      <c r="K33" s="100"/>
      <c r="L33" s="100"/>
    </row>
    <row r="34" spans="1:12" x14ac:dyDescent="0.25">
      <c r="A34" s="2" t="s">
        <v>413</v>
      </c>
      <c r="E34" s="31"/>
      <c r="H34" s="288"/>
      <c r="I34" s="289"/>
    </row>
    <row r="35" spans="1:12" x14ac:dyDescent="0.25">
      <c r="A35" s="2" t="s">
        <v>476</v>
      </c>
      <c r="H35" s="288"/>
      <c r="I35" s="289"/>
    </row>
    <row r="36" spans="1:12" x14ac:dyDescent="0.25">
      <c r="A36" s="2"/>
      <c r="H36" s="288"/>
      <c r="I36" s="289"/>
    </row>
    <row r="37" spans="1:12" x14ac:dyDescent="0.25">
      <c r="H37" s="288"/>
      <c r="I37" s="289"/>
    </row>
  </sheetData>
  <mergeCells count="1">
    <mergeCell ref="A29:B29"/>
  </mergeCells>
  <pageMargins left="0.7" right="0.7" top="0.75" bottom="0.75" header="0.3" footer="0.3"/>
  <pageSetup scale="37"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tint="-4.9989318521683403E-2"/>
  </sheetPr>
  <dimension ref="A1:C24"/>
  <sheetViews>
    <sheetView workbookViewId="0">
      <selection activeCell="M36" sqref="L36:M36"/>
    </sheetView>
  </sheetViews>
  <sheetFormatPr defaultRowHeight="15" x14ac:dyDescent="0.25"/>
  <cols>
    <col min="1" max="1" width="15.85546875" customWidth="1"/>
    <col min="2" max="2" width="21.85546875" customWidth="1"/>
  </cols>
  <sheetData>
    <row r="1" spans="1:3" x14ac:dyDescent="0.25">
      <c r="A1" s="478" t="s">
        <v>76</v>
      </c>
      <c r="B1" s="478"/>
    </row>
    <row r="2" spans="1:3" x14ac:dyDescent="0.25">
      <c r="A2" s="5"/>
    </row>
    <row r="3" spans="1:3" s="1" customFormat="1" ht="30" customHeight="1" x14ac:dyDescent="0.25">
      <c r="A3" s="9" t="s">
        <v>77</v>
      </c>
      <c r="B3" s="9" t="s">
        <v>78</v>
      </c>
    </row>
    <row r="4" spans="1:3" s="1" customFormat="1" ht="15" customHeight="1" x14ac:dyDescent="0.25">
      <c r="A4" s="290">
        <v>1989</v>
      </c>
      <c r="B4" s="292">
        <v>1.7306999999999999</v>
      </c>
    </row>
    <row r="5" spans="1:3" x14ac:dyDescent="0.25">
      <c r="A5" s="291">
        <v>2001</v>
      </c>
      <c r="B5" s="33">
        <v>1.3306</v>
      </c>
      <c r="C5" s="271"/>
    </row>
    <row r="6" spans="1:3" x14ac:dyDescent="0.25">
      <c r="A6" s="291">
        <v>2002</v>
      </c>
      <c r="B6" s="33">
        <v>1.3105</v>
      </c>
      <c r="C6" s="271"/>
    </row>
    <row r="7" spans="1:3" x14ac:dyDescent="0.25">
      <c r="A7" s="291">
        <v>2003</v>
      </c>
      <c r="B7" s="33">
        <v>1.2848999999999999</v>
      </c>
      <c r="C7" s="271"/>
    </row>
    <row r="8" spans="1:3" x14ac:dyDescent="0.25">
      <c r="A8" s="291">
        <v>2004</v>
      </c>
      <c r="B8" s="33">
        <v>1.2504999999999999</v>
      </c>
      <c r="C8" s="271"/>
    </row>
    <row r="9" spans="1:3" x14ac:dyDescent="0.25">
      <c r="A9" s="291">
        <v>2005</v>
      </c>
      <c r="B9" s="33">
        <v>1.2115</v>
      </c>
      <c r="C9" s="271"/>
    </row>
    <row r="10" spans="1:3" x14ac:dyDescent="0.25">
      <c r="A10" s="291">
        <v>2006</v>
      </c>
      <c r="B10" s="33">
        <v>1.1754</v>
      </c>
      <c r="C10" s="271"/>
    </row>
    <row r="11" spans="1:3" x14ac:dyDescent="0.25">
      <c r="A11" s="291">
        <v>2007</v>
      </c>
      <c r="B11" s="33">
        <v>1.1449</v>
      </c>
      <c r="C11" s="271"/>
    </row>
    <row r="12" spans="1:3" x14ac:dyDescent="0.25">
      <c r="A12" s="291">
        <v>2008</v>
      </c>
      <c r="B12" s="33">
        <v>1.1229</v>
      </c>
      <c r="C12" s="271"/>
    </row>
    <row r="13" spans="1:3" x14ac:dyDescent="0.25">
      <c r="A13" s="291">
        <v>2009</v>
      </c>
      <c r="B13" s="33">
        <v>1.1145</v>
      </c>
      <c r="C13" s="271"/>
    </row>
    <row r="14" spans="1:3" x14ac:dyDescent="0.25">
      <c r="A14" s="291">
        <v>2010</v>
      </c>
      <c r="B14" s="33">
        <v>1.101</v>
      </c>
      <c r="C14" s="271"/>
    </row>
    <row r="15" spans="1:3" x14ac:dyDescent="0.25">
      <c r="A15" s="291">
        <v>2011</v>
      </c>
      <c r="B15" s="33">
        <v>1.0787</v>
      </c>
      <c r="C15" s="271"/>
    </row>
    <row r="16" spans="1:3" x14ac:dyDescent="0.25">
      <c r="A16" s="291">
        <v>2012</v>
      </c>
      <c r="B16" s="33">
        <v>1.0591999999999999</v>
      </c>
      <c r="C16" s="271"/>
    </row>
    <row r="17" spans="1:3" x14ac:dyDescent="0.25">
      <c r="A17" s="291">
        <v>2013</v>
      </c>
      <c r="B17" s="33">
        <v>1.0424</v>
      </c>
      <c r="C17" s="271"/>
    </row>
    <row r="18" spans="1:3" x14ac:dyDescent="0.25">
      <c r="A18" s="291">
        <v>2014</v>
      </c>
      <c r="B18" s="33">
        <v>1.024</v>
      </c>
      <c r="C18" s="271"/>
    </row>
    <row r="19" spans="1:3" x14ac:dyDescent="0.25">
      <c r="A19" s="291">
        <v>2015</v>
      </c>
      <c r="B19" s="33">
        <v>1.0132000000000001</v>
      </c>
      <c r="C19" s="271"/>
    </row>
    <row r="20" spans="1:3" x14ac:dyDescent="0.25">
      <c r="A20" s="291">
        <v>2016</v>
      </c>
      <c r="B20" s="33">
        <v>1</v>
      </c>
      <c r="C20" s="271"/>
    </row>
    <row r="21" spans="1:3" x14ac:dyDescent="0.25">
      <c r="A21" s="49"/>
      <c r="B21" s="50"/>
    </row>
    <row r="22" spans="1:3" x14ac:dyDescent="0.25">
      <c r="A22" s="40" t="s">
        <v>1</v>
      </c>
    </row>
    <row r="23" spans="1:3" x14ac:dyDescent="0.25">
      <c r="A23" s="2" t="s">
        <v>79</v>
      </c>
      <c r="B23" s="2"/>
    </row>
    <row r="24" spans="1:3" x14ac:dyDescent="0.25">
      <c r="A24" s="46" t="s">
        <v>80</v>
      </c>
      <c r="B24" s="32"/>
    </row>
  </sheetData>
  <mergeCells count="1">
    <mergeCell ref="A1:B1"/>
  </mergeCells>
  <hyperlinks>
    <hyperlink ref="A24" r:id="rId1"/>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sheetPr>
  <dimension ref="A1:J51"/>
  <sheetViews>
    <sheetView workbookViewId="0">
      <selection activeCell="D39" sqref="D39"/>
    </sheetView>
  </sheetViews>
  <sheetFormatPr defaultRowHeight="15" x14ac:dyDescent="0.25"/>
  <cols>
    <col min="1" max="1" width="19.140625" customWidth="1"/>
    <col min="2" max="2" width="14.28515625" customWidth="1"/>
    <col min="3" max="3" width="22.85546875" customWidth="1"/>
    <col min="4" max="9" width="21.7109375" customWidth="1"/>
  </cols>
  <sheetData>
    <row r="1" spans="1:9" x14ac:dyDescent="0.25">
      <c r="A1" s="478" t="s">
        <v>39</v>
      </c>
      <c r="B1" s="478"/>
      <c r="C1" s="478"/>
      <c r="D1" s="478"/>
      <c r="E1" s="478"/>
      <c r="F1" s="478"/>
      <c r="G1" s="478"/>
      <c r="H1" s="478"/>
      <c r="I1" s="478"/>
    </row>
    <row r="3" spans="1:9" ht="45" customHeight="1" x14ac:dyDescent="0.25">
      <c r="A3" s="20" t="s">
        <v>0</v>
      </c>
      <c r="B3" s="67" t="s">
        <v>7</v>
      </c>
      <c r="C3" s="67" t="s">
        <v>36</v>
      </c>
      <c r="D3" s="67" t="s">
        <v>40</v>
      </c>
      <c r="E3" s="67" t="s">
        <v>41</v>
      </c>
      <c r="F3" s="67" t="s">
        <v>371</v>
      </c>
      <c r="G3" s="67" t="s">
        <v>372</v>
      </c>
      <c r="H3" s="67" t="s">
        <v>373</v>
      </c>
      <c r="I3" s="67" t="s">
        <v>374</v>
      </c>
    </row>
    <row r="4" spans="1:9" x14ac:dyDescent="0.25">
      <c r="A4" s="89">
        <v>2016</v>
      </c>
      <c r="B4" s="29" t="s">
        <v>109</v>
      </c>
      <c r="C4" s="90">
        <f>SUM('Travel Time - Calc'!L4:L89)*1.015</f>
        <v>2142175.2820117772</v>
      </c>
      <c r="D4" s="90">
        <f>SUM('Travel Time - Calc'!M4:M89)*1.015</f>
        <v>5529.878861724098</v>
      </c>
      <c r="E4" s="90">
        <f>SUM('Travel Time - Calc'!N4:N89)*1.015</f>
        <v>78816.816491681777</v>
      </c>
      <c r="F4" s="91">
        <v>0</v>
      </c>
      <c r="G4" s="91">
        <v>0</v>
      </c>
      <c r="H4" s="91">
        <v>0</v>
      </c>
      <c r="I4" s="91">
        <f>F4+G4+H4</f>
        <v>0</v>
      </c>
    </row>
    <row r="5" spans="1:9" x14ac:dyDescent="0.25">
      <c r="A5" s="89">
        <v>2017</v>
      </c>
      <c r="B5" s="29" t="s">
        <v>109</v>
      </c>
      <c r="C5" s="90">
        <f>C4*1.015</f>
        <v>2174307.9112419537</v>
      </c>
      <c r="D5" s="92">
        <f>D4*1.015</f>
        <v>5612.8270446499591</v>
      </c>
      <c r="E5" s="90">
        <f>E4*1.015</f>
        <v>79999.068739056995</v>
      </c>
      <c r="F5" s="91">
        <v>0</v>
      </c>
      <c r="G5" s="91">
        <v>0</v>
      </c>
      <c r="H5" s="91">
        <v>0</v>
      </c>
      <c r="I5" s="91">
        <f t="shared" ref="I5:I30" si="0">F5+G5+H5</f>
        <v>0</v>
      </c>
    </row>
    <row r="6" spans="1:9" x14ac:dyDescent="0.25">
      <c r="A6" s="89">
        <v>2018</v>
      </c>
      <c r="B6" s="29" t="s">
        <v>109</v>
      </c>
      <c r="C6" s="90">
        <f t="shared" ref="C6:C30" si="1">C5*1.015</f>
        <v>2206922.529910583</v>
      </c>
      <c r="D6" s="92">
        <f t="shared" ref="D6:D30" si="2">D5*1.015</f>
        <v>5697.0194503197081</v>
      </c>
      <c r="E6" s="90">
        <f t="shared" ref="E6:E30" si="3">E5*1.015</f>
        <v>81199.054770142844</v>
      </c>
      <c r="F6" s="91">
        <v>0</v>
      </c>
      <c r="G6" s="91">
        <v>0</v>
      </c>
      <c r="H6" s="91">
        <v>0</v>
      </c>
      <c r="I6" s="91">
        <f t="shared" si="0"/>
        <v>0</v>
      </c>
    </row>
    <row r="7" spans="1:9" x14ac:dyDescent="0.25">
      <c r="A7" s="89">
        <v>2019</v>
      </c>
      <c r="B7" s="29" t="s">
        <v>109</v>
      </c>
      <c r="C7" s="90">
        <f t="shared" si="1"/>
        <v>2240026.3678592416</v>
      </c>
      <c r="D7" s="92">
        <f t="shared" si="2"/>
        <v>5782.4747420745034</v>
      </c>
      <c r="E7" s="90">
        <f t="shared" si="3"/>
        <v>82417.040591694982</v>
      </c>
      <c r="F7" s="91">
        <v>0</v>
      </c>
      <c r="G7" s="91">
        <v>0</v>
      </c>
      <c r="H7" s="91">
        <v>0</v>
      </c>
      <c r="I7" s="91">
        <f t="shared" si="0"/>
        <v>0</v>
      </c>
    </row>
    <row r="8" spans="1:9" x14ac:dyDescent="0.25">
      <c r="A8" s="29" t="s">
        <v>105</v>
      </c>
      <c r="B8" s="29" t="s">
        <v>110</v>
      </c>
      <c r="C8" s="90">
        <f t="shared" si="1"/>
        <v>2273626.76337713</v>
      </c>
      <c r="D8" s="92">
        <f t="shared" si="2"/>
        <v>5869.2118632056208</v>
      </c>
      <c r="E8" s="90">
        <f t="shared" si="3"/>
        <v>83653.296200570403</v>
      </c>
      <c r="F8" s="91">
        <v>0</v>
      </c>
      <c r="G8" s="91">
        <v>0</v>
      </c>
      <c r="H8" s="91">
        <v>0</v>
      </c>
      <c r="I8" s="91">
        <f t="shared" si="0"/>
        <v>0</v>
      </c>
    </row>
    <row r="9" spans="1:9" x14ac:dyDescent="0.25">
      <c r="A9" s="89">
        <v>2021</v>
      </c>
      <c r="B9" s="29" t="s">
        <v>110</v>
      </c>
      <c r="C9" s="90">
        <f t="shared" si="1"/>
        <v>2307731.1648277869</v>
      </c>
      <c r="D9" s="92">
        <f t="shared" si="2"/>
        <v>5957.2500411537048</v>
      </c>
      <c r="E9" s="90">
        <f t="shared" si="3"/>
        <v>84908.095643578956</v>
      </c>
      <c r="F9" s="91">
        <v>0</v>
      </c>
      <c r="G9" s="91">
        <v>0</v>
      </c>
      <c r="H9" s="91">
        <v>0</v>
      </c>
      <c r="I9" s="91">
        <f t="shared" si="0"/>
        <v>0</v>
      </c>
    </row>
    <row r="10" spans="1:9" x14ac:dyDescent="0.25">
      <c r="A10" s="29" t="s">
        <v>106</v>
      </c>
      <c r="B10" s="29" t="s">
        <v>110</v>
      </c>
      <c r="C10" s="90">
        <f t="shared" si="1"/>
        <v>2342347.1323002032</v>
      </c>
      <c r="D10" s="92">
        <f t="shared" si="2"/>
        <v>6046.6087917710101</v>
      </c>
      <c r="E10" s="90">
        <f t="shared" si="3"/>
        <v>86181.717078232628</v>
      </c>
      <c r="F10" s="91">
        <v>0</v>
      </c>
      <c r="G10" s="91">
        <v>0</v>
      </c>
      <c r="H10" s="91">
        <v>0</v>
      </c>
      <c r="I10" s="91">
        <f t="shared" si="0"/>
        <v>0</v>
      </c>
    </row>
    <row r="11" spans="1:9" x14ac:dyDescent="0.25">
      <c r="A11" s="89">
        <v>2023</v>
      </c>
      <c r="B11" s="89">
        <v>1</v>
      </c>
      <c r="C11" s="90">
        <f t="shared" si="1"/>
        <v>2377482.3392847059</v>
      </c>
      <c r="D11" s="92">
        <f t="shared" si="2"/>
        <v>6137.3079236475751</v>
      </c>
      <c r="E11" s="90">
        <f t="shared" si="3"/>
        <v>87474.442834406116</v>
      </c>
      <c r="F11" s="91">
        <f>C11*'Travel Time - Value'!$B$7</f>
        <v>33522500.983914353</v>
      </c>
      <c r="G11" s="91">
        <f>D11*'Travel Time - Value'!$B$10</f>
        <v>173685.81423922637</v>
      </c>
      <c r="H11" s="91">
        <f>E11*'Travel Time - Value'!$B$9</f>
        <v>2379304.8450958463</v>
      </c>
      <c r="I11" s="91">
        <f t="shared" si="0"/>
        <v>36075491.643249422</v>
      </c>
    </row>
    <row r="12" spans="1:9" x14ac:dyDescent="0.25">
      <c r="A12" s="89">
        <v>2024</v>
      </c>
      <c r="B12" s="89">
        <v>2</v>
      </c>
      <c r="C12" s="90">
        <f t="shared" si="1"/>
        <v>2413144.5743739763</v>
      </c>
      <c r="D12" s="92">
        <f t="shared" si="2"/>
        <v>6229.3675425022884</v>
      </c>
      <c r="E12" s="90">
        <f t="shared" si="3"/>
        <v>88786.559476922193</v>
      </c>
      <c r="F12" s="91">
        <f>C12*'Travel Time - Value'!$B$7</f>
        <v>34025338.498673066</v>
      </c>
      <c r="G12" s="91">
        <f>D12*'Travel Time - Value'!$B$10</f>
        <v>176291.10145281476</v>
      </c>
      <c r="H12" s="91">
        <f>E12*'Travel Time - Value'!$B$9</f>
        <v>2414994.4177722838</v>
      </c>
      <c r="I12" s="91">
        <f t="shared" si="0"/>
        <v>36616624.017898165</v>
      </c>
    </row>
    <row r="13" spans="1:9" x14ac:dyDescent="0.25">
      <c r="A13" s="89">
        <v>2025</v>
      </c>
      <c r="B13" s="89">
        <v>3</v>
      </c>
      <c r="C13" s="90">
        <f t="shared" si="1"/>
        <v>2449341.7429895857</v>
      </c>
      <c r="D13" s="92">
        <f t="shared" si="2"/>
        <v>6322.8080556398218</v>
      </c>
      <c r="E13" s="90">
        <f t="shared" si="3"/>
        <v>90118.357869076019</v>
      </c>
      <c r="F13" s="91">
        <f>C13*'Travel Time - Value'!$B$7</f>
        <v>34535718.576153159</v>
      </c>
      <c r="G13" s="91">
        <f>D13*'Travel Time - Value'!$B$10</f>
        <v>178935.46797460696</v>
      </c>
      <c r="H13" s="91">
        <f>E13*'Travel Time - Value'!$B$9</f>
        <v>2451219.3340388676</v>
      </c>
      <c r="I13" s="91">
        <f t="shared" si="0"/>
        <v>37165873.378166638</v>
      </c>
    </row>
    <row r="14" spans="1:9" x14ac:dyDescent="0.25">
      <c r="A14" s="89">
        <v>2026</v>
      </c>
      <c r="B14" s="89">
        <v>4</v>
      </c>
      <c r="C14" s="90">
        <f t="shared" si="1"/>
        <v>2486081.8691344294</v>
      </c>
      <c r="D14" s="92">
        <f t="shared" si="2"/>
        <v>6417.6501764744189</v>
      </c>
      <c r="E14" s="90">
        <f t="shared" si="3"/>
        <v>91470.133237112153</v>
      </c>
      <c r="F14" s="91">
        <f>C14*'Travel Time - Value'!$B$7</f>
        <v>35053754.354795456</v>
      </c>
      <c r="G14" s="91">
        <f>D14*'Travel Time - Value'!$B$10</f>
        <v>181619.49999422606</v>
      </c>
      <c r="H14" s="91">
        <f>E14*'Travel Time - Value'!$B$9</f>
        <v>2487987.6240494507</v>
      </c>
      <c r="I14" s="91">
        <f t="shared" si="0"/>
        <v>37723361.478839129</v>
      </c>
    </row>
    <row r="15" spans="1:9" x14ac:dyDescent="0.25">
      <c r="A15" s="89">
        <v>2027</v>
      </c>
      <c r="B15" s="89">
        <v>5</v>
      </c>
      <c r="C15" s="90">
        <f t="shared" si="1"/>
        <v>2523373.0971714454</v>
      </c>
      <c r="D15" s="92">
        <f t="shared" si="2"/>
        <v>6513.9149291215344</v>
      </c>
      <c r="E15" s="90">
        <f t="shared" si="3"/>
        <v>92842.185235668832</v>
      </c>
      <c r="F15" s="91">
        <f>C15*'Travel Time - Value'!$B$7</f>
        <v>35579560.670117378</v>
      </c>
      <c r="G15" s="91">
        <f>D15*'Travel Time - Value'!$B$10</f>
        <v>184343.79249413943</v>
      </c>
      <c r="H15" s="91">
        <f>E15*'Travel Time - Value'!$B$9</f>
        <v>2525307.4384101923</v>
      </c>
      <c r="I15" s="91">
        <f t="shared" si="0"/>
        <v>38289211.901021712</v>
      </c>
    </row>
    <row r="16" spans="1:9" x14ac:dyDescent="0.25">
      <c r="A16" s="89">
        <v>2028</v>
      </c>
      <c r="B16" s="89">
        <v>6</v>
      </c>
      <c r="C16" s="90">
        <f t="shared" si="1"/>
        <v>2561223.6936290166</v>
      </c>
      <c r="D16" s="92">
        <f t="shared" si="2"/>
        <v>6611.6236530583565</v>
      </c>
      <c r="E16" s="90">
        <f t="shared" si="3"/>
        <v>94234.818014203862</v>
      </c>
      <c r="F16" s="91">
        <f>C16*'Travel Time - Value'!$B$7</f>
        <v>36113254.080169134</v>
      </c>
      <c r="G16" s="91">
        <f>D16*'Travel Time - Value'!$B$10</f>
        <v>187108.9493815515</v>
      </c>
      <c r="H16" s="91">
        <f>E16*'Travel Time - Value'!$B$9</f>
        <v>2563187.0499863448</v>
      </c>
      <c r="I16" s="91">
        <f t="shared" si="0"/>
        <v>38863550.079537034</v>
      </c>
    </row>
    <row r="17" spans="1:9" x14ac:dyDescent="0.25">
      <c r="A17" s="89">
        <v>2029</v>
      </c>
      <c r="B17" s="89">
        <v>7</v>
      </c>
      <c r="C17" s="90">
        <f t="shared" si="1"/>
        <v>2599642.0490334518</v>
      </c>
      <c r="D17" s="92">
        <f t="shared" si="2"/>
        <v>6710.7980078542314</v>
      </c>
      <c r="E17" s="90">
        <f t="shared" si="3"/>
        <v>95648.340284416918</v>
      </c>
      <c r="F17" s="91">
        <f>C17*'Travel Time - Value'!$B$7</f>
        <v>36654952.891371667</v>
      </c>
      <c r="G17" s="91">
        <f>D17*'Travel Time - Value'!$B$10</f>
        <v>189915.58362227475</v>
      </c>
      <c r="H17" s="91">
        <f>E17*'Travel Time - Value'!$B$9</f>
        <v>2601634.8557361402</v>
      </c>
      <c r="I17" s="91">
        <f t="shared" si="0"/>
        <v>39446503.330730081</v>
      </c>
    </row>
    <row r="18" spans="1:9" x14ac:dyDescent="0.25">
      <c r="A18" s="89">
        <v>2030</v>
      </c>
      <c r="B18" s="89">
        <v>8</v>
      </c>
      <c r="C18" s="90">
        <f t="shared" si="1"/>
        <v>2638636.6797689535</v>
      </c>
      <c r="D18" s="92">
        <f t="shared" si="2"/>
        <v>6811.4599779720438</v>
      </c>
      <c r="E18" s="90">
        <f t="shared" si="3"/>
        <v>97083.065388683157</v>
      </c>
      <c r="F18" s="91">
        <f>C18*'Travel Time - Value'!$B$7</f>
        <v>37204777.184742242</v>
      </c>
      <c r="G18" s="91">
        <f>D18*'Travel Time - Value'!$B$10</f>
        <v>192764.31737660884</v>
      </c>
      <c r="H18" s="91">
        <f>E18*'Travel Time - Value'!$B$9</f>
        <v>2640659.3785721818</v>
      </c>
      <c r="I18" s="91">
        <f t="shared" si="0"/>
        <v>40038200.880691029</v>
      </c>
    </row>
    <row r="19" spans="1:9" x14ac:dyDescent="0.25">
      <c r="A19" s="89">
        <v>2031</v>
      </c>
      <c r="B19" s="89">
        <v>9</v>
      </c>
      <c r="C19" s="90">
        <f t="shared" si="1"/>
        <v>2678216.2299654875</v>
      </c>
      <c r="D19" s="92">
        <f t="shared" si="2"/>
        <v>6913.6318776416238</v>
      </c>
      <c r="E19" s="90">
        <f t="shared" si="3"/>
        <v>98539.311369513394</v>
      </c>
      <c r="F19" s="91">
        <f>C19*'Travel Time - Value'!$B$7</f>
        <v>37762848.842513375</v>
      </c>
      <c r="G19" s="91">
        <f>D19*'Travel Time - Value'!$B$10</f>
        <v>195655.78213725795</v>
      </c>
      <c r="H19" s="91">
        <f>E19*'Travel Time - Value'!$B$9</f>
        <v>2680269.269250764</v>
      </c>
      <c r="I19" s="91">
        <f t="shared" si="0"/>
        <v>40638773.8939014</v>
      </c>
    </row>
    <row r="20" spans="1:9" x14ac:dyDescent="0.25">
      <c r="A20" s="89">
        <v>2032</v>
      </c>
      <c r="B20" s="89">
        <v>10</v>
      </c>
      <c r="C20" s="90">
        <f t="shared" si="1"/>
        <v>2718389.4734149696</v>
      </c>
      <c r="D20" s="92">
        <f t="shared" si="2"/>
        <v>7017.3363558062474</v>
      </c>
      <c r="E20" s="90">
        <f t="shared" si="3"/>
        <v>100017.40104005608</v>
      </c>
      <c r="F20" s="91">
        <f>C20*'Travel Time - Value'!$B$7</f>
        <v>38329291.575151071</v>
      </c>
      <c r="G20" s="91">
        <f>D20*'Travel Time - Value'!$B$10</f>
        <v>198590.61886931679</v>
      </c>
      <c r="H20" s="91">
        <f>E20*'Travel Time - Value'!$B$9</f>
        <v>2720473.3082895251</v>
      </c>
      <c r="I20" s="91">
        <f t="shared" si="0"/>
        <v>41248355.502309918</v>
      </c>
    </row>
    <row r="21" spans="1:9" x14ac:dyDescent="0.25">
      <c r="A21" s="89">
        <v>2033</v>
      </c>
      <c r="B21" s="89">
        <v>11</v>
      </c>
      <c r="C21" s="90">
        <f t="shared" si="1"/>
        <v>2759165.3155161939</v>
      </c>
      <c r="D21" s="92">
        <f t="shared" si="2"/>
        <v>7122.5964011433407</v>
      </c>
      <c r="E21" s="90">
        <f t="shared" si="3"/>
        <v>101517.66205565691</v>
      </c>
      <c r="F21" s="91">
        <f>C21*'Travel Time - Value'!$B$7</f>
        <v>38904230.948778331</v>
      </c>
      <c r="G21" s="91">
        <f>D21*'Travel Time - Value'!$B$10</f>
        <v>201569.47815235655</v>
      </c>
      <c r="H21" s="91">
        <f>E21*'Travel Time - Value'!$B$9</f>
        <v>2761280.4079138678</v>
      </c>
      <c r="I21" s="91">
        <f t="shared" si="0"/>
        <v>41867080.834844559</v>
      </c>
    </row>
    <row r="22" spans="1:9" x14ac:dyDescent="0.25">
      <c r="A22" s="89">
        <v>2034</v>
      </c>
      <c r="B22" s="89">
        <v>12</v>
      </c>
      <c r="C22" s="90">
        <f t="shared" si="1"/>
        <v>2800552.7952489364</v>
      </c>
      <c r="D22" s="92">
        <f t="shared" si="2"/>
        <v>7229.43534716049</v>
      </c>
      <c r="E22" s="90">
        <f t="shared" si="3"/>
        <v>103040.42698649176</v>
      </c>
      <c r="F22" s="91">
        <f>C22*'Travel Time - Value'!$B$7</f>
        <v>39487794.413010001</v>
      </c>
      <c r="G22" s="91">
        <f>D22*'Travel Time - Value'!$B$10</f>
        <v>204593.02032464187</v>
      </c>
      <c r="H22" s="91">
        <f>E22*'Travel Time - Value'!$B$9</f>
        <v>2802699.6140325759</v>
      </c>
      <c r="I22" s="91">
        <f t="shared" si="0"/>
        <v>42495087.047367215</v>
      </c>
    </row>
    <row r="23" spans="1:9" x14ac:dyDescent="0.25">
      <c r="A23" s="89">
        <v>2035</v>
      </c>
      <c r="B23" s="89">
        <v>13</v>
      </c>
      <c r="C23" s="90">
        <f t="shared" si="1"/>
        <v>2842561.0871776701</v>
      </c>
      <c r="D23" s="92">
        <f t="shared" si="2"/>
        <v>7337.8768773678967</v>
      </c>
      <c r="E23" s="90">
        <f t="shared" si="3"/>
        <v>104586.03339128912</v>
      </c>
      <c r="F23" s="91">
        <f>C23*'Travel Time - Value'!$B$7</f>
        <v>40080111.329205148</v>
      </c>
      <c r="G23" s="91">
        <f>D23*'Travel Time - Value'!$B$10</f>
        <v>207661.9156295115</v>
      </c>
      <c r="H23" s="91">
        <f>E23*'Travel Time - Value'!$B$9</f>
        <v>2844740.108243064</v>
      </c>
      <c r="I23" s="91">
        <f t="shared" si="0"/>
        <v>43132513.353077725</v>
      </c>
    </row>
    <row r="24" spans="1:9" x14ac:dyDescent="0.25">
      <c r="A24" s="89">
        <v>2036</v>
      </c>
      <c r="B24" s="89">
        <v>14</v>
      </c>
      <c r="C24" s="90">
        <f t="shared" si="1"/>
        <v>2885199.503485335</v>
      </c>
      <c r="D24" s="92">
        <f t="shared" si="2"/>
        <v>7447.9450305284145</v>
      </c>
      <c r="E24" s="90">
        <f t="shared" si="3"/>
        <v>106154.82389215844</v>
      </c>
      <c r="F24" s="91">
        <f>C24*'Travel Time - Value'!$B$7</f>
        <v>40681312.99914322</v>
      </c>
      <c r="G24" s="91">
        <f>D24*'Travel Time - Value'!$B$10</f>
        <v>210776.84436395412</v>
      </c>
      <c r="H24" s="91">
        <f>E24*'Travel Time - Value'!$B$9</f>
        <v>2887411.2098667095</v>
      </c>
      <c r="I24" s="91">
        <f t="shared" si="0"/>
        <v>43779501.053373888</v>
      </c>
    </row>
    <row r="25" spans="1:9" x14ac:dyDescent="0.25">
      <c r="A25" s="89">
        <v>2037</v>
      </c>
      <c r="B25" s="89">
        <v>15</v>
      </c>
      <c r="C25" s="90">
        <f t="shared" si="1"/>
        <v>2928477.496037615</v>
      </c>
      <c r="D25" s="92">
        <f t="shared" si="2"/>
        <v>7559.6642059863398</v>
      </c>
      <c r="E25" s="90">
        <f t="shared" si="3"/>
        <v>107747.14625054081</v>
      </c>
      <c r="F25" s="91">
        <f>C25*'Travel Time - Value'!$B$7</f>
        <v>41291532.694130369</v>
      </c>
      <c r="G25" s="91">
        <f>D25*'Travel Time - Value'!$B$10</f>
        <v>213938.49702941341</v>
      </c>
      <c r="H25" s="91">
        <f>E25*'Travel Time - Value'!$B$9</f>
        <v>2930722.3780147098</v>
      </c>
      <c r="I25" s="91">
        <f t="shared" si="0"/>
        <v>44436193.569174498</v>
      </c>
    </row>
    <row r="26" spans="1:9" x14ac:dyDescent="0.25">
      <c r="A26" s="89">
        <v>2038</v>
      </c>
      <c r="B26" s="89">
        <v>16</v>
      </c>
      <c r="C26" s="90">
        <f t="shared" si="1"/>
        <v>2972404.658478179</v>
      </c>
      <c r="D26" s="92">
        <f t="shared" si="2"/>
        <v>7673.0591690761339</v>
      </c>
      <c r="E26" s="90">
        <f t="shared" si="3"/>
        <v>109363.35344429892</v>
      </c>
      <c r="F26" s="91">
        <f>C26*'Travel Time - Value'!$B$7</f>
        <v>41910905.684542321</v>
      </c>
      <c r="G26" s="91">
        <f>D26*'Travel Time - Value'!$B$10</f>
        <v>217147.57448485459</v>
      </c>
      <c r="H26" s="91">
        <f>E26*'Travel Time - Value'!$B$9</f>
        <v>2974683.2136849305</v>
      </c>
      <c r="I26" s="91">
        <f t="shared" si="0"/>
        <v>45102736.472712107</v>
      </c>
    </row>
    <row r="27" spans="1:9" x14ac:dyDescent="0.25">
      <c r="A27" s="89">
        <v>2039</v>
      </c>
      <c r="B27" s="89">
        <v>17</v>
      </c>
      <c r="C27" s="90">
        <f t="shared" si="1"/>
        <v>3016990.7283553514</v>
      </c>
      <c r="D27" s="92">
        <f t="shared" si="2"/>
        <v>7788.1550566122751</v>
      </c>
      <c r="E27" s="90">
        <f t="shared" si="3"/>
        <v>111003.80374596339</v>
      </c>
      <c r="F27" s="91">
        <f>C27*'Travel Time - Value'!$B$7</f>
        <v>42539569.269810453</v>
      </c>
      <c r="G27" s="91">
        <f>D27*'Travel Time - Value'!$B$10</f>
        <v>220404.78810212738</v>
      </c>
      <c r="H27" s="91">
        <f>E27*'Travel Time - Value'!$B$9</f>
        <v>3019303.4618902043</v>
      </c>
      <c r="I27" s="91">
        <f t="shared" si="0"/>
        <v>45779277.519802786</v>
      </c>
    </row>
    <row r="28" spans="1:9" x14ac:dyDescent="0.25">
      <c r="A28" s="89">
        <v>2040</v>
      </c>
      <c r="B28" s="89">
        <v>18</v>
      </c>
      <c r="C28" s="90">
        <f t="shared" si="1"/>
        <v>3062245.5892806812</v>
      </c>
      <c r="D28" s="92">
        <f t="shared" si="2"/>
        <v>7904.9773824614585</v>
      </c>
      <c r="E28" s="90">
        <f t="shared" si="3"/>
        <v>112668.86080215283</v>
      </c>
      <c r="F28" s="91">
        <f>C28*'Travel Time - Value'!$B$7</f>
        <v>43177662.808857605</v>
      </c>
      <c r="G28" s="91">
        <f>D28*'Travel Time - Value'!$B$10</f>
        <v>223710.85992365927</v>
      </c>
      <c r="H28" s="91">
        <f>E28*'Travel Time - Value'!$B$9</f>
        <v>3064593.0138185569</v>
      </c>
      <c r="I28" s="91">
        <f t="shared" si="0"/>
        <v>46465966.68259982</v>
      </c>
    </row>
    <row r="29" spans="1:9" x14ac:dyDescent="0.25">
      <c r="A29" s="89">
        <v>2041</v>
      </c>
      <c r="B29" s="89">
        <v>19</v>
      </c>
      <c r="C29" s="90">
        <f t="shared" si="1"/>
        <v>3108179.2731198911</v>
      </c>
      <c r="D29" s="92">
        <f t="shared" si="2"/>
        <v>8023.5520431983796</v>
      </c>
      <c r="E29" s="90">
        <f t="shared" si="3"/>
        <v>114358.89371418512</v>
      </c>
      <c r="F29" s="91">
        <f>C29*'Travel Time - Value'!$B$7</f>
        <v>43825327.750990465</v>
      </c>
      <c r="G29" s="91">
        <f>D29*'Travel Time - Value'!$B$10</f>
        <v>227066.52282251415</v>
      </c>
      <c r="H29" s="91">
        <f>E29*'Travel Time - Value'!$B$9</f>
        <v>3110561.9090258353</v>
      </c>
      <c r="I29" s="91">
        <f t="shared" si="0"/>
        <v>47162956.182838812</v>
      </c>
    </row>
    <row r="30" spans="1:9" x14ac:dyDescent="0.25">
      <c r="A30" s="89">
        <v>2042</v>
      </c>
      <c r="B30" s="89">
        <v>20</v>
      </c>
      <c r="C30" s="90">
        <f t="shared" si="1"/>
        <v>3154801.9622166893</v>
      </c>
      <c r="D30" s="92">
        <f t="shared" si="2"/>
        <v>8143.9053238463548</v>
      </c>
      <c r="E30" s="90">
        <f t="shared" si="3"/>
        <v>116074.27711989789</v>
      </c>
      <c r="F30" s="91">
        <f>C30*'Travel Time - Value'!$B$7</f>
        <v>44482707.66725532</v>
      </c>
      <c r="G30" s="91">
        <f>D30*'Travel Time - Value'!$B$10</f>
        <v>230472.52066485185</v>
      </c>
      <c r="H30" s="91">
        <f>E30*'Travel Time - Value'!$B$9</f>
        <v>3157220.3376612226</v>
      </c>
      <c r="I30" s="91">
        <f t="shared" si="0"/>
        <v>47870400.52558139</v>
      </c>
    </row>
    <row r="31" spans="1:9" x14ac:dyDescent="0.25">
      <c r="A31" s="93"/>
      <c r="B31" s="93"/>
      <c r="C31" s="93"/>
      <c r="D31" s="93"/>
      <c r="E31" s="94" t="s">
        <v>42</v>
      </c>
      <c r="F31" s="95">
        <f>AVERAGE(F11:F30)</f>
        <v>38758157.661166206</v>
      </c>
      <c r="G31" s="95">
        <f t="shared" ref="G31:I31" si="4">AVERAGE(G11:G30)</f>
        <v>200812.64745199541</v>
      </c>
      <c r="H31" s="95">
        <f t="shared" si="4"/>
        <v>2750912.6587676634</v>
      </c>
      <c r="I31" s="95">
        <f t="shared" si="4"/>
        <v>41709882.967385873</v>
      </c>
    </row>
    <row r="32" spans="1:9" x14ac:dyDescent="0.25">
      <c r="A32" s="93"/>
      <c r="B32" s="93"/>
      <c r="C32" s="93"/>
      <c r="D32" s="93"/>
      <c r="E32" s="94" t="s">
        <v>43</v>
      </c>
      <c r="F32" s="95">
        <f>SUM(F11:F30)</f>
        <v>775163153.22332418</v>
      </c>
      <c r="G32" s="95">
        <f t="shared" ref="G32:I32" si="5">SUM(G11:G30)</f>
        <v>4016252.9490399081</v>
      </c>
      <c r="H32" s="95">
        <f t="shared" si="5"/>
        <v>55018253.175353266</v>
      </c>
      <c r="I32" s="95">
        <f t="shared" si="5"/>
        <v>834197659.3477174</v>
      </c>
    </row>
    <row r="34" spans="1:1" x14ac:dyDescent="0.25">
      <c r="A34" s="21" t="s">
        <v>38</v>
      </c>
    </row>
    <row r="35" spans="1:1" x14ac:dyDescent="0.25">
      <c r="A35" s="2" t="s">
        <v>477</v>
      </c>
    </row>
    <row r="36" spans="1:1" x14ac:dyDescent="0.25">
      <c r="A36" s="2" t="s">
        <v>66</v>
      </c>
    </row>
    <row r="37" spans="1:1" x14ac:dyDescent="0.25">
      <c r="A37" s="2" t="s">
        <v>262</v>
      </c>
    </row>
    <row r="38" spans="1:1" x14ac:dyDescent="0.25">
      <c r="A38" s="2" t="s">
        <v>118</v>
      </c>
    </row>
    <row r="51" spans="10:10" x14ac:dyDescent="0.25">
      <c r="J51" s="5"/>
    </row>
  </sheetData>
  <mergeCells count="1">
    <mergeCell ref="A1:I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sheetPr>
  <dimension ref="A1:T100"/>
  <sheetViews>
    <sheetView zoomScale="70" zoomScaleNormal="70" workbookViewId="0">
      <selection activeCell="H56" sqref="H56"/>
    </sheetView>
  </sheetViews>
  <sheetFormatPr defaultRowHeight="15" x14ac:dyDescent="0.25"/>
  <cols>
    <col min="2" max="2" width="11.7109375" bestFit="1" customWidth="1"/>
    <col min="3" max="3" width="12.140625" bestFit="1" customWidth="1"/>
    <col min="4" max="4" width="9.5703125" customWidth="1"/>
    <col min="5" max="5" width="12.140625" bestFit="1" customWidth="1"/>
    <col min="6" max="11" width="21.7109375" customWidth="1"/>
    <col min="12" max="12" width="21.5703125" bestFit="1" customWidth="1"/>
    <col min="13" max="13" width="19.85546875" bestFit="1" customWidth="1"/>
    <col min="14" max="14" width="19.28515625" bestFit="1" customWidth="1"/>
    <col min="15" max="15" width="13.140625" customWidth="1"/>
    <col min="16" max="16" width="9.5703125" bestFit="1" customWidth="1"/>
    <col min="17" max="18" width="10.5703125" bestFit="1" customWidth="1"/>
    <col min="19" max="20" width="9.5703125" bestFit="1" customWidth="1"/>
  </cols>
  <sheetData>
    <row r="1" spans="1:20" x14ac:dyDescent="0.25">
      <c r="A1" s="478" t="s">
        <v>37</v>
      </c>
      <c r="B1" s="478"/>
      <c r="C1" s="478"/>
      <c r="D1" s="478"/>
      <c r="E1" s="478"/>
      <c r="F1" s="478"/>
      <c r="G1" s="478"/>
      <c r="H1" s="478"/>
      <c r="I1" s="478"/>
      <c r="J1" s="478"/>
      <c r="K1" s="478"/>
      <c r="L1" s="478"/>
      <c r="M1" s="478"/>
      <c r="N1" s="478"/>
    </row>
    <row r="2" spans="1:20" ht="15.75" thickBot="1" x14ac:dyDescent="0.3">
      <c r="A2" s="5"/>
      <c r="B2" s="5"/>
    </row>
    <row r="3" spans="1:20" s="18" customFormat="1" ht="45" customHeight="1" x14ac:dyDescent="0.25">
      <c r="A3" s="51" t="s">
        <v>289</v>
      </c>
      <c r="B3" s="52" t="s">
        <v>25</v>
      </c>
      <c r="C3" s="52" t="s">
        <v>44</v>
      </c>
      <c r="D3" s="52" t="s">
        <v>28</v>
      </c>
      <c r="E3" s="53" t="s">
        <v>29</v>
      </c>
      <c r="F3" s="59" t="s">
        <v>30</v>
      </c>
      <c r="G3" s="60" t="s">
        <v>31</v>
      </c>
      <c r="H3" s="61" t="s">
        <v>32</v>
      </c>
      <c r="I3" s="62" t="s">
        <v>33</v>
      </c>
      <c r="J3" s="57" t="s">
        <v>34</v>
      </c>
      <c r="K3" s="58" t="s">
        <v>35</v>
      </c>
      <c r="L3" s="54" t="s">
        <v>36</v>
      </c>
      <c r="M3" s="55" t="s">
        <v>40</v>
      </c>
      <c r="N3" s="56" t="s">
        <v>41</v>
      </c>
    </row>
    <row r="4" spans="1:20" x14ac:dyDescent="0.25">
      <c r="A4" s="68">
        <v>9</v>
      </c>
      <c r="B4" s="6" t="s">
        <v>26</v>
      </c>
      <c r="C4" s="6">
        <v>48682</v>
      </c>
      <c r="D4" s="69">
        <v>2E-3</v>
      </c>
      <c r="E4" s="70">
        <v>4.2000000000000003E-2</v>
      </c>
      <c r="F4" s="68">
        <v>10.7</v>
      </c>
      <c r="G4" s="71">
        <v>14.5</v>
      </c>
      <c r="H4" s="72">
        <v>16.899999999999999</v>
      </c>
      <c r="I4" s="73">
        <v>16.2</v>
      </c>
      <c r="J4" s="68">
        <v>10.7</v>
      </c>
      <c r="K4" s="71">
        <v>12.5</v>
      </c>
      <c r="L4" s="74">
        <f>((C4*(1-(D4+E4))*(F4-G4)*0.15*'Travel Time - Value'!$B$19)+(C4*(1-(D4+E4))*(H4-I4)*0.2*'Travel Time - Value'!$B$19)+(C4*(1-(D4+E4))*(J4-K4)*0.65*'Travel Time - Value'!$B$19))*(1/3600)*365</f>
        <v>-10494.251084977781</v>
      </c>
      <c r="M4" s="75">
        <f>((C4*D4*(F4-G4)*0.15)+(C4*D4*(H4-I4)*0.2)+(C4*D4*(J4-K4)*0.65))*(1/3600)*365</f>
        <v>-15.794604444444452</v>
      </c>
      <c r="N4" s="76">
        <f>((C4*E4*(F4-G4)*0.15*'Travel Time - Value'!$B$20)+(C4*E4*(H4-I4)*0.2*'Travel Time - Value'!$B$20)+(C4*E4*(J4-K4)*0.65*'Travel Time - Value'!$B$20))*(1/3600)*365</f>
        <v>-331.68669333333355</v>
      </c>
      <c r="O4" s="341"/>
      <c r="P4" s="300"/>
      <c r="Q4" s="300"/>
      <c r="R4" s="300"/>
      <c r="S4" s="300"/>
      <c r="T4" s="300"/>
    </row>
    <row r="5" spans="1:20" x14ac:dyDescent="0.25">
      <c r="A5" s="68">
        <v>9</v>
      </c>
      <c r="B5" s="6" t="s">
        <v>27</v>
      </c>
      <c r="C5" s="6">
        <v>1534</v>
      </c>
      <c r="D5" s="69">
        <v>2E-3</v>
      </c>
      <c r="E5" s="70">
        <v>4.2000000000000003E-2</v>
      </c>
      <c r="F5" s="68">
        <v>39.5</v>
      </c>
      <c r="G5" s="71">
        <v>42.9</v>
      </c>
      <c r="H5" s="72">
        <v>39.1</v>
      </c>
      <c r="I5" s="73">
        <v>42.6</v>
      </c>
      <c r="J5" s="68">
        <v>39.1</v>
      </c>
      <c r="K5" s="71">
        <v>41.3</v>
      </c>
      <c r="L5" s="74">
        <f>((C5*(1-(D5+E5))*(F5-G5)*0.15*'Travel Time - Value'!$B$19)+(C5*(1-(D5+E5))*(H5-I5)*0.2*'Travel Time - Value'!$B$19)+(C5*(1-(D5+E5))*(J5-K5)*0.65*'Travel Time - Value'!$B$19))*(1/3600)*365</f>
        <v>-545.6225898933327</v>
      </c>
      <c r="M5" s="75">
        <f t="shared" ref="M5:M68" si="0">((C5*D5*(F5-G5)*0.15)+(C5*D5*(H5-I5)*0.2)+(C5*D5*(J5-K5)*0.65))*(1/3600)*365</f>
        <v>-0.82120133333333245</v>
      </c>
      <c r="N5" s="76">
        <f>((C5*E5*(F5-G5)*0.15*'Travel Time - Value'!$B$20)+(C5*E5*(H5-I5)*0.2*'Travel Time - Value'!$B$20)+(C5*E5*(J5-K5)*0.65*'Travel Time - Value'!$B$20))*(1/3600)*365</f>
        <v>-17.24522799999998</v>
      </c>
      <c r="O5" s="300"/>
      <c r="P5" s="300"/>
      <c r="Q5" s="300"/>
      <c r="R5" s="300"/>
      <c r="S5" s="300"/>
      <c r="T5" s="300"/>
    </row>
    <row r="6" spans="1:20" x14ac:dyDescent="0.25">
      <c r="A6" s="68">
        <v>10</v>
      </c>
      <c r="B6" s="6" t="s">
        <v>26</v>
      </c>
      <c r="C6" s="6">
        <v>49976</v>
      </c>
      <c r="D6" s="69">
        <v>3.0000000000000001E-3</v>
      </c>
      <c r="E6" s="70">
        <v>4.8000000000000001E-2</v>
      </c>
      <c r="F6" s="68">
        <v>16.100000000000001</v>
      </c>
      <c r="G6" s="71">
        <v>14</v>
      </c>
      <c r="H6" s="72">
        <v>82.9</v>
      </c>
      <c r="I6" s="73">
        <v>98.5</v>
      </c>
      <c r="J6" s="68">
        <v>157.9</v>
      </c>
      <c r="K6" s="71">
        <v>123.9</v>
      </c>
      <c r="L6" s="74">
        <f>((C6*(1-(D6+E6))*(F6-G6)*0.15*'Travel Time - Value'!$B$19)+(C6*(1-(D6+E6))*(H6-I6)*0.2*'Travel Time - Value'!$B$19)+(C6*(1-(D6+E6))*(J6-K6)*0.65*'Travel Time - Value'!$B$19))*(1/3600)*365</f>
        <v>128966.71929167723</v>
      </c>
      <c r="M6" s="75">
        <f t="shared" si="0"/>
        <v>293.30393816666668</v>
      </c>
      <c r="N6" s="76">
        <f>((C6*E6*(F6-G6)*0.15*'Travel Time - Value'!$B$20)+(C6*E6*(H6-I6)*0.2*'Travel Time - Value'!$B$20)+(C6*E6*(J6-K6)*0.65*'Travel Time - Value'!$B$20))*(1/3600)*365</f>
        <v>4692.8630106666669</v>
      </c>
      <c r="O6" s="300"/>
      <c r="P6" s="300"/>
      <c r="Q6" s="300"/>
      <c r="R6" s="300"/>
      <c r="S6" s="300"/>
      <c r="T6" s="300"/>
    </row>
    <row r="7" spans="1:20" x14ac:dyDescent="0.25">
      <c r="A7" s="68">
        <v>10</v>
      </c>
      <c r="B7" s="6" t="s">
        <v>27</v>
      </c>
      <c r="C7" s="6">
        <v>50059</v>
      </c>
      <c r="D7" s="69">
        <v>2E-3</v>
      </c>
      <c r="E7" s="70">
        <v>4.2000000000000003E-2</v>
      </c>
      <c r="F7" s="68">
        <v>42.2</v>
      </c>
      <c r="G7" s="71">
        <v>29.9</v>
      </c>
      <c r="H7" s="72">
        <v>34.9</v>
      </c>
      <c r="I7" s="73">
        <v>31.8</v>
      </c>
      <c r="J7" s="68">
        <v>20.2</v>
      </c>
      <c r="K7" s="71">
        <v>19.7</v>
      </c>
      <c r="L7" s="74">
        <f>((C7*(1-(D7+E7))*(F7-G7)*0.15*'Travel Time - Value'!$B$19)+(C7*(1-(D7+E7))*(H7-I7)*0.2*'Travel Time - Value'!$B$19)+(C7*(1-(D7+E7))*(J7-K7)*0.65*'Travel Time - Value'!$B$19))*(1/3600)*365</f>
        <v>18816.958591284994</v>
      </c>
      <c r="M7" s="75">
        <f t="shared" si="0"/>
        <v>28.320879249999997</v>
      </c>
      <c r="N7" s="76">
        <f>((C7*E7*(F7-G7)*0.15*'Travel Time - Value'!$B$20)+(C7*E7*(H7-I7)*0.2*'Travel Time - Value'!$B$20)+(C7*E7*(J7-K7)*0.65*'Travel Time - Value'!$B$20))*(1/3600)*365</f>
        <v>594.73846425000011</v>
      </c>
      <c r="O7" s="300"/>
      <c r="P7" s="300"/>
      <c r="Q7" s="300"/>
      <c r="R7" s="300"/>
      <c r="S7" s="300"/>
      <c r="T7" s="300"/>
    </row>
    <row r="8" spans="1:20" x14ac:dyDescent="0.25">
      <c r="A8" s="68">
        <v>13</v>
      </c>
      <c r="B8" s="6" t="s">
        <v>26</v>
      </c>
      <c r="C8" s="6">
        <v>48682</v>
      </c>
      <c r="D8" s="69">
        <v>2E-3</v>
      </c>
      <c r="E8" s="70">
        <v>4.2000000000000003E-2</v>
      </c>
      <c r="F8" s="68">
        <v>14.2</v>
      </c>
      <c r="G8" s="71">
        <v>17.3</v>
      </c>
      <c r="H8" s="72">
        <v>67.099999999999994</v>
      </c>
      <c r="I8" s="73">
        <v>57.3</v>
      </c>
      <c r="J8" s="68">
        <v>62.6</v>
      </c>
      <c r="K8" s="71">
        <v>46.1</v>
      </c>
      <c r="L8" s="74">
        <f>((C8*(1-(D8+E8))*(F8-G8)*0.15*'Travel Time - Value'!$B$19)+(C8*(1-(D8+E8))*(H8-I8)*0.2*'Travel Time - Value'!$B$19)+(C8*(1-(D8+E8))*(J8-K8)*0.65*'Travel Time - Value'!$B$19))*(1/3600)*365</f>
        <v>80149.842661517774</v>
      </c>
      <c r="M8" s="75">
        <f t="shared" si="0"/>
        <v>120.63129144444444</v>
      </c>
      <c r="N8" s="76">
        <f>((C8*E8*(F8-G8)*0.15*'Travel Time - Value'!$B$20)+(C8*E8*(H8-I8)*0.2*'Travel Time - Value'!$B$20)+(C8*E8*(J8-K8)*0.65*'Travel Time - Value'!$B$20))*(1/3600)*365</f>
        <v>2533.2571203333337</v>
      </c>
      <c r="O8" s="300"/>
      <c r="P8" s="300"/>
      <c r="Q8" s="300"/>
      <c r="R8" s="300"/>
      <c r="S8" s="300"/>
      <c r="T8" s="300"/>
    </row>
    <row r="9" spans="1:20" x14ac:dyDescent="0.25">
      <c r="A9" s="68">
        <v>13</v>
      </c>
      <c r="B9" s="6" t="s">
        <v>27</v>
      </c>
      <c r="C9" s="6">
        <v>1534</v>
      </c>
      <c r="D9" s="69">
        <v>2E-3</v>
      </c>
      <c r="E9" s="70">
        <v>4.2000000000000003E-2</v>
      </c>
      <c r="F9" s="68">
        <v>5.3</v>
      </c>
      <c r="G9" s="71">
        <v>25.3</v>
      </c>
      <c r="H9" s="72">
        <v>5.2</v>
      </c>
      <c r="I9" s="73">
        <v>28.6</v>
      </c>
      <c r="J9" s="68">
        <v>4.5999999999999996</v>
      </c>
      <c r="K9" s="71">
        <v>8.1999999999999993</v>
      </c>
      <c r="L9" s="74">
        <f>((C9*(1-(D9+E9))*(F9-G9)*0.15*'Travel Time - Value'!$B$19)+(C9*(1-(D9+E9))*(H9-I9)*0.2*'Travel Time - Value'!$B$19)+(C9*(1-(D9+E9))*(J9-K9)*0.65*'Travel Time - Value'!$B$19))*(1/3600)*365</f>
        <v>-2070.8857389133332</v>
      </c>
      <c r="M9" s="75">
        <f t="shared" si="0"/>
        <v>-3.1168323333333334</v>
      </c>
      <c r="N9" s="76">
        <f>((C9*E9*(F9-G9)*0.15*'Travel Time - Value'!$B$20)+(C9*E9*(H9-I9)*0.2*'Travel Time - Value'!$B$20)+(C9*E9*(J9-K9)*0.65*'Travel Time - Value'!$B$20))*(1/3600)*365</f>
        <v>-65.453479000000002</v>
      </c>
      <c r="O9" s="300"/>
      <c r="P9" s="300"/>
      <c r="Q9" s="300"/>
      <c r="R9" s="300"/>
      <c r="S9" s="300"/>
      <c r="T9" s="300"/>
    </row>
    <row r="10" spans="1:20" x14ac:dyDescent="0.25">
      <c r="A10" s="68">
        <v>14</v>
      </c>
      <c r="B10" s="6" t="s">
        <v>26</v>
      </c>
      <c r="C10" s="6">
        <v>48682</v>
      </c>
      <c r="D10" s="69">
        <v>2E-3</v>
      </c>
      <c r="E10" s="70">
        <v>4.2000000000000003E-2</v>
      </c>
      <c r="F10" s="68">
        <v>28.3</v>
      </c>
      <c r="G10" s="71">
        <v>35.9</v>
      </c>
      <c r="H10" s="72">
        <v>278.89999999999998</v>
      </c>
      <c r="I10" s="73">
        <v>296</v>
      </c>
      <c r="J10" s="68">
        <v>148.1</v>
      </c>
      <c r="K10" s="71">
        <v>128.30000000000001</v>
      </c>
      <c r="L10" s="74">
        <f>((C10*(1-(D10+E10))*(F10-G10)*0.15*'Travel Time - Value'!$B$19)+(C10*(1-(D10+E10))*(H10-I10)*0.2*'Travel Time - Value'!$B$19)+(C10*(1-(D10+E10))*(J10-K10)*0.65*'Travel Time - Value'!$B$19))*(1/3600)*365</f>
        <v>54504.516572603243</v>
      </c>
      <c r="M10" s="75">
        <f t="shared" si="0"/>
        <v>82.033226833333188</v>
      </c>
      <c r="N10" s="76">
        <f>((C10*E10*(F10-G10)*0.15*'Travel Time - Value'!$B$20)+(C10*E10*(H10-I10)*0.2*'Travel Time - Value'!$B$20)+(C10*E10*(J10-K10)*0.65*'Travel Time - Value'!$B$20))*(1/3600)*365</f>
        <v>1722.6977634999967</v>
      </c>
      <c r="O10" s="300"/>
      <c r="P10" s="300"/>
      <c r="Q10" s="300"/>
      <c r="R10" s="300"/>
      <c r="S10" s="300"/>
      <c r="T10" s="300"/>
    </row>
    <row r="11" spans="1:20" x14ac:dyDescent="0.25">
      <c r="A11" s="68">
        <v>14</v>
      </c>
      <c r="B11" s="6" t="s">
        <v>27</v>
      </c>
      <c r="C11" s="6">
        <v>1534</v>
      </c>
      <c r="D11" s="69">
        <v>2E-3</v>
      </c>
      <c r="E11" s="70">
        <v>4.2000000000000003E-2</v>
      </c>
      <c r="F11" s="68">
        <v>11.7</v>
      </c>
      <c r="G11" s="71">
        <v>54.3</v>
      </c>
      <c r="H11" s="72">
        <v>11.4</v>
      </c>
      <c r="I11" s="73">
        <v>45.4</v>
      </c>
      <c r="J11" s="68">
        <v>11.1</v>
      </c>
      <c r="K11" s="71">
        <v>18.3</v>
      </c>
      <c r="L11" s="74">
        <f>((C11*(1-(D11+E11))*(F11-G11)*0.15*'Travel Time - Value'!$B$19)+(C11*(1-(D11+E11))*(H11-I11)*0.2*'Travel Time - Value'!$B$19)+(C11*(1-(D11+E11))*(J11-K11)*0.65*'Travel Time - Value'!$B$19))*(1/3600)*365</f>
        <v>-3693.286242952222</v>
      </c>
      <c r="M11" s="75">
        <f t="shared" si="0"/>
        <v>-5.5586620555555566</v>
      </c>
      <c r="N11" s="76">
        <f>((C11*E11*(F11-G11)*0.15*'Travel Time - Value'!$B$20)+(C11*E11*(H11-I11)*0.2*'Travel Time - Value'!$B$20)+(C11*E11*(J11-K11)*0.65*'Travel Time - Value'!$B$20))*(1/3600)*365</f>
        <v>-116.73190316666667</v>
      </c>
      <c r="O11" s="300"/>
      <c r="P11" s="300"/>
      <c r="Q11" s="300"/>
      <c r="R11" s="300"/>
      <c r="S11" s="300"/>
      <c r="T11" s="300"/>
    </row>
    <row r="12" spans="1:20" x14ac:dyDescent="0.25">
      <c r="A12" s="68">
        <v>22</v>
      </c>
      <c r="B12" s="6" t="s">
        <v>26</v>
      </c>
      <c r="C12" s="6">
        <v>48682</v>
      </c>
      <c r="D12" s="69">
        <v>2E-3</v>
      </c>
      <c r="E12" s="70">
        <v>4.2000000000000003E-2</v>
      </c>
      <c r="F12" s="68">
        <v>4.0999999999999996</v>
      </c>
      <c r="G12" s="71">
        <v>4.0999999999999996</v>
      </c>
      <c r="H12" s="72">
        <v>4.4000000000000004</v>
      </c>
      <c r="I12" s="73">
        <v>7.4</v>
      </c>
      <c r="J12" s="68">
        <v>3.4</v>
      </c>
      <c r="K12" s="71">
        <v>3.4</v>
      </c>
      <c r="L12" s="74">
        <f>((C12*(1-(D12+E12))*(F12-G12)*0.15*'Travel Time - Value'!$B$19)+(C12*(1-(D12+E12))*(H12-I12)*0.2*'Travel Time - Value'!$B$19)+(C12*(1-(D12+E12))*(J12-K12)*0.65*'Travel Time - Value'!$B$19))*(1/3600)*365</f>
        <v>-3935.3441568666663</v>
      </c>
      <c r="M12" s="75">
        <f t="shared" si="0"/>
        <v>-5.922976666666667</v>
      </c>
      <c r="N12" s="76">
        <f>((C12*E12*(F12-G12)*0.15*'Travel Time - Value'!$B$20)+(C12*E12*(H12-I12)*0.2*'Travel Time - Value'!$B$20)+(C12*E12*(J12-K12)*0.65*'Travel Time - Value'!$B$20))*(1/3600)*365</f>
        <v>-124.38251000000002</v>
      </c>
      <c r="O12" s="300"/>
      <c r="P12" s="300"/>
      <c r="Q12" s="300"/>
      <c r="R12" s="300"/>
      <c r="S12" s="300"/>
      <c r="T12" s="300"/>
    </row>
    <row r="13" spans="1:20" x14ac:dyDescent="0.25">
      <c r="A13" s="68">
        <v>22</v>
      </c>
      <c r="B13" s="6" t="s">
        <v>27</v>
      </c>
      <c r="C13" s="6">
        <v>1534</v>
      </c>
      <c r="D13" s="69">
        <v>2E-3</v>
      </c>
      <c r="E13" s="70">
        <v>4.2000000000000003E-2</v>
      </c>
      <c r="F13" s="68">
        <v>13.6</v>
      </c>
      <c r="G13" s="71">
        <v>13.2</v>
      </c>
      <c r="H13" s="72">
        <v>13.4</v>
      </c>
      <c r="I13" s="73">
        <v>13.2</v>
      </c>
      <c r="J13" s="68">
        <v>12.5</v>
      </c>
      <c r="K13" s="71">
        <v>12.6</v>
      </c>
      <c r="L13" s="74">
        <f>((C13*(1-(D13+E13))*(F13-G13)*0.15*'Travel Time - Value'!$B$19)+(C13*(1-(D13+E13))*(H13-I13)*0.2*'Travel Time - Value'!$B$19)+(C13*(1-(D13+E13))*(J13-K13)*0.65*'Travel Time - Value'!$B$19))*(1/3600)*365</f>
        <v>7.2336328205556546</v>
      </c>
      <c r="M13" s="75">
        <f t="shared" si="0"/>
        <v>1.0887138888889047E-2</v>
      </c>
      <c r="N13" s="76">
        <f>((C13*E13*(F13-G13)*0.15*'Travel Time - Value'!$B$20)+(C13*E13*(H13-I13)*0.2*'Travel Time - Value'!$B$20)+(C13*E13*(J13-K13)*0.65*'Travel Time - Value'!$B$20))*(1/3600)*365</f>
        <v>0.22862991666666982</v>
      </c>
      <c r="O13" s="300"/>
      <c r="P13" s="300"/>
      <c r="Q13" s="300"/>
      <c r="R13" s="300"/>
      <c r="S13" s="300"/>
      <c r="T13" s="300"/>
    </row>
    <row r="14" spans="1:20" x14ac:dyDescent="0.25">
      <c r="A14" s="68">
        <v>23</v>
      </c>
      <c r="B14" s="6" t="s">
        <v>26</v>
      </c>
      <c r="C14" s="6">
        <v>44274</v>
      </c>
      <c r="D14" s="69">
        <v>4.0000000000000001E-3</v>
      </c>
      <c r="E14" s="70">
        <v>5.7000000000000002E-2</v>
      </c>
      <c r="F14" s="68">
        <v>13.7</v>
      </c>
      <c r="G14" s="71">
        <v>14.6</v>
      </c>
      <c r="H14" s="72">
        <v>16.5</v>
      </c>
      <c r="I14" s="73">
        <v>19.7</v>
      </c>
      <c r="J14" s="68">
        <v>14.5</v>
      </c>
      <c r="K14" s="71">
        <v>13.8</v>
      </c>
      <c r="L14" s="74">
        <f>((C14*(1-(D14+E14))*(F14-G14)*0.15*'Travel Time - Value'!$B$19)+(C14*(1-(D14+E14))*(H14-I14)*0.2*'Travel Time - Value'!$B$19)+(C14*(1-(D14+E14))*(J14-K14)*0.65*'Travel Time - Value'!$B$19))*(1/3600)*365</f>
        <v>-1874.862813520002</v>
      </c>
      <c r="M14" s="75">
        <f t="shared" si="0"/>
        <v>-5.7457813333333396</v>
      </c>
      <c r="N14" s="76">
        <f>((C14*E14*(F14-G14)*0.15*'Travel Time - Value'!$B$20)+(C14*E14*(H14-I14)*0.2*'Travel Time - Value'!$B$20)+(C14*E14*(J14-K14)*0.65*'Travel Time - Value'!$B$20))*(1/3600)*365</f>
        <v>-81.877384000000092</v>
      </c>
      <c r="O14" s="300"/>
      <c r="P14" s="300"/>
      <c r="Q14" s="300"/>
      <c r="R14" s="300"/>
      <c r="S14" s="300"/>
      <c r="T14" s="300"/>
    </row>
    <row r="15" spans="1:20" x14ac:dyDescent="0.25">
      <c r="A15" s="68">
        <v>23</v>
      </c>
      <c r="B15" s="6" t="s">
        <v>27</v>
      </c>
      <c r="C15" s="6">
        <v>43958</v>
      </c>
      <c r="D15" s="69">
        <v>2E-3</v>
      </c>
      <c r="E15" s="70">
        <v>4.8000000000000001E-2</v>
      </c>
      <c r="F15" s="68">
        <v>17.899999999999999</v>
      </c>
      <c r="G15" s="71">
        <v>20.3</v>
      </c>
      <c r="H15" s="72">
        <v>22.1</v>
      </c>
      <c r="I15" s="73">
        <v>26.4</v>
      </c>
      <c r="J15" s="68">
        <v>16</v>
      </c>
      <c r="K15" s="71">
        <v>16.8</v>
      </c>
      <c r="L15" s="74">
        <f>((C15*(1-(D15+E15))*(F15-G15)*0.15*'Travel Time - Value'!$B$19)+(C15*(1-(D15+E15))*(H15-I15)*0.2*'Travel Time - Value'!$B$19)+(C15*(1-(D15+E15))*(J15-K15)*0.65*'Travel Time - Value'!$B$19))*(1/3600)*365</f>
        <v>-10240.376921916668</v>
      </c>
      <c r="M15" s="75">
        <f t="shared" si="0"/>
        <v>-15.509847666666669</v>
      </c>
      <c r="N15" s="76">
        <f>((C15*E15*(F15-G15)*0.15*'Travel Time - Value'!$B$20)+(C15*E15*(H15-I15)*0.2*'Travel Time - Value'!$B$20)+(C15*E15*(J15-K15)*0.65*'Travel Time - Value'!$B$20))*(1/3600)*365</f>
        <v>-372.23634399999997</v>
      </c>
      <c r="O15" s="300"/>
      <c r="P15" s="300"/>
      <c r="Q15" s="300"/>
      <c r="R15" s="300"/>
      <c r="S15" s="300"/>
      <c r="T15" s="300"/>
    </row>
    <row r="16" spans="1:20" x14ac:dyDescent="0.25">
      <c r="A16" s="68">
        <v>28</v>
      </c>
      <c r="B16" s="6" t="s">
        <v>26</v>
      </c>
      <c r="C16" s="6">
        <v>41699</v>
      </c>
      <c r="D16" s="69">
        <v>5.0000000000000001E-3</v>
      </c>
      <c r="E16" s="70">
        <v>0.06</v>
      </c>
      <c r="F16" s="68">
        <v>35.9</v>
      </c>
      <c r="G16" s="71">
        <v>31.5</v>
      </c>
      <c r="H16" s="72">
        <v>36.6</v>
      </c>
      <c r="I16" s="73">
        <v>37.5</v>
      </c>
      <c r="J16" s="68">
        <v>32.799999999999997</v>
      </c>
      <c r="K16" s="71">
        <v>29.9</v>
      </c>
      <c r="L16" s="74">
        <f>((C16*(1-(D16+E16))*(F16-G16)*0.15*'Travel Time - Value'!$B$19)+(C16*(1-(D16+E16))*(H16-I16)*0.2*'Travel Time - Value'!$B$19)+(C16*(1-(D16+E16))*(J16-K16)*0.65*'Travel Time - Value'!$B$19))*(1/3600)*365</f>
        <v>12994.918497431594</v>
      </c>
      <c r="M16" s="75">
        <f t="shared" si="0"/>
        <v>49.993915659722212</v>
      </c>
      <c r="N16" s="76">
        <f>((C16*E16*(F16-G16)*0.15*'Travel Time - Value'!$B$20)+(C16*E16*(H16-I16)*0.2*'Travel Time - Value'!$B$20)+(C16*E16*(J16-K16)*0.65*'Travel Time - Value'!$B$20))*(1/3600)*365</f>
        <v>599.92698791666646</v>
      </c>
      <c r="O16" s="300"/>
      <c r="P16" s="300"/>
      <c r="Q16" s="300"/>
      <c r="R16" s="300"/>
      <c r="S16" s="300"/>
      <c r="T16" s="300"/>
    </row>
    <row r="17" spans="1:20" x14ac:dyDescent="0.25">
      <c r="A17" s="68">
        <v>28</v>
      </c>
      <c r="B17" s="6" t="s">
        <v>27</v>
      </c>
      <c r="C17" s="6">
        <v>43395</v>
      </c>
      <c r="D17" s="69">
        <v>3.0000000000000001E-3</v>
      </c>
      <c r="E17" s="70">
        <v>0.05</v>
      </c>
      <c r="F17" s="68">
        <v>28.1</v>
      </c>
      <c r="G17" s="71">
        <v>25.4</v>
      </c>
      <c r="H17" s="72">
        <v>28.8</v>
      </c>
      <c r="I17" s="73">
        <v>26.5</v>
      </c>
      <c r="J17" s="68">
        <v>24.5</v>
      </c>
      <c r="K17" s="71">
        <v>23.9</v>
      </c>
      <c r="L17" s="74">
        <f>((C17*(1-(D17+E17))*(F17-G17)*0.15*'Travel Time - Value'!$B$19)+(C17*(1-(D17+E17))*(H17-I17)*0.2*'Travel Time - Value'!$B$19)+(C17*(1-(D17+E17))*(J17-K17)*0.65*'Travel Time - Value'!$B$19))*(1/3600)*365</f>
        <v>7268.3956780072995</v>
      </c>
      <c r="M17" s="75">
        <f t="shared" si="0"/>
        <v>16.565137187500021</v>
      </c>
      <c r="N17" s="76">
        <f>((C17*E17*(F17-G17)*0.15*'Travel Time - Value'!$B$20)+(C17*E17*(H17-I17)*0.2*'Travel Time - Value'!$B$20)+(C17*E17*(J17-K17)*0.65*'Travel Time - Value'!$B$20))*(1/3600)*365</f>
        <v>276.085619791667</v>
      </c>
      <c r="O17" s="300"/>
      <c r="P17" s="300"/>
      <c r="Q17" s="300"/>
      <c r="R17" s="300"/>
      <c r="S17" s="300"/>
      <c r="T17" s="300"/>
    </row>
    <row r="18" spans="1:20" x14ac:dyDescent="0.25">
      <c r="A18" s="68">
        <v>31</v>
      </c>
      <c r="B18" s="6" t="s">
        <v>26</v>
      </c>
      <c r="C18" s="6">
        <v>41767</v>
      </c>
      <c r="D18" s="69">
        <v>3.0000000000000001E-3</v>
      </c>
      <c r="E18" s="70">
        <v>6.2E-2</v>
      </c>
      <c r="F18" s="68">
        <v>27.7</v>
      </c>
      <c r="G18" s="71">
        <v>23.2</v>
      </c>
      <c r="H18" s="72">
        <v>26.2</v>
      </c>
      <c r="I18" s="73">
        <v>25.3</v>
      </c>
      <c r="J18" s="68">
        <v>26</v>
      </c>
      <c r="K18" s="71">
        <v>25.1</v>
      </c>
      <c r="L18" s="74">
        <f>((C18*(1-(D18+E18))*(F18-G18)*0.15*'Travel Time - Value'!$B$19)+(C18*(1-(D18+E18))*(H18-I18)*0.2*'Travel Time - Value'!$B$19)+(C18*(1-(D18+E18))*(J18-K18)*0.65*'Travel Time - Value'!$B$19))*(1/3600)*365</f>
        <v>7925.2423062999942</v>
      </c>
      <c r="M18" s="75">
        <f t="shared" si="0"/>
        <v>18.293945999999984</v>
      </c>
      <c r="N18" s="76">
        <f>((C18*E18*(F18-G18)*0.15*'Travel Time - Value'!$B$20)+(C18*E18*(H18-I18)*0.2*'Travel Time - Value'!$B$20)+(C18*E18*(J18-K18)*0.65*'Travel Time - Value'!$B$20))*(1/3600)*365</f>
        <v>378.07488399999966</v>
      </c>
      <c r="O18" s="300"/>
      <c r="P18" s="300"/>
      <c r="Q18" s="300"/>
      <c r="R18" s="300"/>
      <c r="S18" s="300"/>
      <c r="T18" s="300"/>
    </row>
    <row r="19" spans="1:20" x14ac:dyDescent="0.25">
      <c r="A19" s="68">
        <v>31</v>
      </c>
      <c r="B19" s="6" t="s">
        <v>27</v>
      </c>
      <c r="C19" s="6">
        <v>44703</v>
      </c>
      <c r="D19" s="69">
        <v>4.0000000000000001E-3</v>
      </c>
      <c r="E19" s="70">
        <v>4.9000000000000002E-2</v>
      </c>
      <c r="F19" s="68">
        <v>23.3</v>
      </c>
      <c r="G19" s="71">
        <v>19.899999999999999</v>
      </c>
      <c r="H19" s="72">
        <v>28.8</v>
      </c>
      <c r="I19" s="73">
        <v>23.3</v>
      </c>
      <c r="J19" s="68">
        <v>20.100000000000001</v>
      </c>
      <c r="K19" s="71">
        <v>18.899999999999999</v>
      </c>
      <c r="L19" s="74">
        <f>((C19*(1-(D19+E19))*(F19-G19)*0.15*'Travel Time - Value'!$B$19)+(C19*(1-(D19+E19))*(H19-I19)*0.2*'Travel Time - Value'!$B$19)+(C19*(1-(D19+E19))*(J19-K19)*0.65*'Travel Time - Value'!$B$19))*(1/3600)*365</f>
        <v>14259.021154521259</v>
      </c>
      <c r="M19" s="75">
        <f t="shared" si="0"/>
        <v>43.329624500000051</v>
      </c>
      <c r="N19" s="76">
        <f>((C19*E19*(F19-G19)*0.15*'Travel Time - Value'!$B$20)+(C19*E19*(H19-I19)*0.2*'Travel Time - Value'!$B$20)+(C19*E19*(J19-K19)*0.65*'Travel Time - Value'!$B$20))*(1/3600)*365</f>
        <v>530.78790012500053</v>
      </c>
      <c r="O19" s="300"/>
      <c r="P19" s="300"/>
      <c r="Q19" s="300"/>
      <c r="R19" s="300"/>
      <c r="S19" s="300"/>
      <c r="T19" s="300"/>
    </row>
    <row r="20" spans="1:20" x14ac:dyDescent="0.25">
      <c r="A20" s="68">
        <v>34</v>
      </c>
      <c r="B20" s="6" t="s">
        <v>26</v>
      </c>
      <c r="C20" s="6">
        <v>40658</v>
      </c>
      <c r="D20" s="69">
        <v>3.0000000000000001E-3</v>
      </c>
      <c r="E20" s="70">
        <v>6.2E-2</v>
      </c>
      <c r="F20" s="68">
        <v>39.799999999999997</v>
      </c>
      <c r="G20" s="71">
        <v>24.3</v>
      </c>
      <c r="H20" s="72">
        <v>33.200000000000003</v>
      </c>
      <c r="I20" s="73">
        <v>32.799999999999997</v>
      </c>
      <c r="J20" s="68">
        <v>27.3</v>
      </c>
      <c r="K20" s="71">
        <v>20.100000000000001</v>
      </c>
      <c r="L20" s="74">
        <f>((C20*(1-(D20+E20))*(F20-G20)*0.15*'Travel Time - Value'!$B$19)+(C20*(1-(D20+E20))*(H20-I20)*0.2*'Travel Time - Value'!$B$19)+(C20*(1-(D20+E20))*(J20-K20)*0.65*'Travel Time - Value'!$B$19))*(1/3600)*365</f>
        <v>37957.940520400698</v>
      </c>
      <c r="M20" s="75">
        <f t="shared" si="0"/>
        <v>87.618837041666666</v>
      </c>
      <c r="N20" s="76">
        <f>((C20*E20*(F20-G20)*0.15*'Travel Time - Value'!$B$20)+(C20*E20*(H20-I20)*0.2*'Travel Time - Value'!$B$20)+(C20*E20*(J20-K20)*0.65*'Travel Time - Value'!$B$20))*(1/3600)*365</f>
        <v>1810.7892988611109</v>
      </c>
      <c r="O20" s="300"/>
      <c r="P20" s="300"/>
      <c r="Q20" s="300"/>
      <c r="R20" s="300"/>
      <c r="S20" s="300"/>
      <c r="T20" s="300"/>
    </row>
    <row r="21" spans="1:20" x14ac:dyDescent="0.25">
      <c r="A21" s="68">
        <v>34</v>
      </c>
      <c r="B21" s="6" t="s">
        <v>27</v>
      </c>
      <c r="C21" s="6">
        <v>46834</v>
      </c>
      <c r="D21" s="69">
        <v>4.0000000000000001E-3</v>
      </c>
      <c r="E21" s="70">
        <v>5.0999999999999997E-2</v>
      </c>
      <c r="F21" s="68">
        <v>15.6</v>
      </c>
      <c r="G21" s="71">
        <v>14.7</v>
      </c>
      <c r="H21" s="72">
        <v>12.8</v>
      </c>
      <c r="I21" s="73">
        <v>13.2</v>
      </c>
      <c r="J21" s="68">
        <v>11.9</v>
      </c>
      <c r="K21" s="71">
        <v>12.4</v>
      </c>
      <c r="L21" s="74">
        <f>((C21*(1-(D21+E21))*(F21-G21)*0.15*'Travel Time - Value'!$B$19)+(C21*(1-(D21+E21))*(H21-I21)*0.2*'Travel Time - Value'!$B$19)+(C21*(1-(D21+E21))*(J21-K21)*0.65*'Travel Time - Value'!$B$19))*(1/3600)*365</f>
        <v>-1684.0771691624982</v>
      </c>
      <c r="M21" s="75">
        <f t="shared" si="0"/>
        <v>-5.1283229999999937</v>
      </c>
      <c r="N21" s="76">
        <f>((C21*E21*(F21-G21)*0.15*'Travel Time - Value'!$B$20)+(C21*E21*(H21-I21)*0.2*'Travel Time - Value'!$B$20)+(C21*E21*(J21-K21)*0.65*'Travel Time - Value'!$B$20))*(1/3600)*365</f>
        <v>-65.38611824999991</v>
      </c>
      <c r="O21" s="300"/>
      <c r="P21" s="300"/>
      <c r="Q21" s="300"/>
      <c r="R21" s="300"/>
      <c r="S21" s="300"/>
      <c r="T21" s="300"/>
    </row>
    <row r="22" spans="1:20" x14ac:dyDescent="0.25">
      <c r="A22" s="68">
        <v>35</v>
      </c>
      <c r="B22" s="6" t="s">
        <v>26</v>
      </c>
      <c r="C22" s="6">
        <v>43413</v>
      </c>
      <c r="D22" s="69">
        <v>8.0000000000000002E-3</v>
      </c>
      <c r="E22" s="70">
        <v>0.06</v>
      </c>
      <c r="F22" s="68">
        <v>21</v>
      </c>
      <c r="G22" s="71">
        <v>27.9</v>
      </c>
      <c r="H22" s="72">
        <v>27.3</v>
      </c>
      <c r="I22" s="73">
        <v>27.9</v>
      </c>
      <c r="J22" s="68">
        <v>17.899999999999999</v>
      </c>
      <c r="K22" s="71">
        <v>18.5</v>
      </c>
      <c r="L22" s="74">
        <f>((C22*(1-(D22+E22))*(F22-G22)*0.15*'Travel Time - Value'!$B$19)+(C22*(1-(D22+E22))*(H22-I22)*0.2*'Travel Time - Value'!$B$19)+(C22*(1-(D22+E22))*(J22-K22)*0.65*'Travel Time - Value'!$B$19))*(1/3600)*365</f>
        <v>-8809.8671269074985</v>
      </c>
      <c r="M22" s="75">
        <f t="shared" si="0"/>
        <v>-54.403724500000017</v>
      </c>
      <c r="N22" s="76">
        <f>((C22*E22*(F22-G22)*0.15*'Travel Time - Value'!$B$20)+(C22*E22*(H22-I22)*0.2*'Travel Time - Value'!$B$20)+(C22*E22*(J22-K22)*0.65*'Travel Time - Value'!$B$20))*(1/3600)*365</f>
        <v>-408.0279337500001</v>
      </c>
      <c r="O22" s="300"/>
      <c r="P22" s="300"/>
      <c r="Q22" s="300"/>
      <c r="R22" s="300"/>
      <c r="S22" s="300"/>
      <c r="T22" s="300"/>
    </row>
    <row r="23" spans="1:20" x14ac:dyDescent="0.25">
      <c r="A23" s="68">
        <v>35</v>
      </c>
      <c r="B23" s="6" t="s">
        <v>27</v>
      </c>
      <c r="C23" s="6">
        <v>46834</v>
      </c>
      <c r="D23" s="69">
        <v>4.0000000000000001E-3</v>
      </c>
      <c r="E23" s="70">
        <v>5.0999999999999997E-2</v>
      </c>
      <c r="F23" s="68">
        <v>31.8</v>
      </c>
      <c r="G23" s="71">
        <v>26.4</v>
      </c>
      <c r="H23" s="72">
        <v>21.1</v>
      </c>
      <c r="I23" s="73">
        <v>22.3</v>
      </c>
      <c r="J23" s="68">
        <v>18.7</v>
      </c>
      <c r="K23" s="71">
        <v>19.8</v>
      </c>
      <c r="L23" s="74">
        <f>((C23*(1-(D23+E23))*(F23-G23)*0.15*'Travel Time - Value'!$B$19)+(C23*(1-(D23+E23))*(H23-I23)*0.2*'Travel Time - Value'!$B$19)+(C23*(1-(D23+E23))*(J23-K23)*0.65*'Travel Time - Value'!$B$19))*(1/3600)*365</f>
        <v>-904.41181306875399</v>
      </c>
      <c r="M23" s="75">
        <f t="shared" si="0"/>
        <v>-2.7540993888888989</v>
      </c>
      <c r="N23" s="76">
        <f>((C23*E23*(F23-G23)*0.15*'Travel Time - Value'!$B$20)+(C23*E23*(H23-I23)*0.2*'Travel Time - Value'!$B$20)+(C23*E23*(J23-K23)*0.65*'Travel Time - Value'!$B$20))*(1/3600)*365</f>
        <v>-35.114767208333454</v>
      </c>
      <c r="O23" s="300"/>
      <c r="P23" s="300"/>
      <c r="Q23" s="300"/>
      <c r="R23" s="300"/>
      <c r="S23" s="300"/>
      <c r="T23" s="300"/>
    </row>
    <row r="24" spans="1:20" x14ac:dyDescent="0.25">
      <c r="A24" s="68">
        <v>36</v>
      </c>
      <c r="B24" s="6" t="s">
        <v>26</v>
      </c>
      <c r="C24" s="6">
        <v>43413</v>
      </c>
      <c r="D24" s="69">
        <v>8.0000000000000002E-3</v>
      </c>
      <c r="E24" s="70">
        <v>0.06</v>
      </c>
      <c r="F24" s="68">
        <v>13.3</v>
      </c>
      <c r="G24" s="71">
        <v>15.6</v>
      </c>
      <c r="H24" s="72">
        <v>15.4</v>
      </c>
      <c r="I24" s="73">
        <v>15.9</v>
      </c>
      <c r="J24" s="68">
        <v>12.9</v>
      </c>
      <c r="K24" s="71">
        <v>13.4</v>
      </c>
      <c r="L24" s="74">
        <f>((C24*(1-(D24+E24))*(F24-G24)*0.15*'Travel Time - Value'!$B$19)+(C24*(1-(D24+E24))*(H24-I24)*0.2*'Travel Time - Value'!$B$19)+(C24*(1-(D24+E24))*(J24-K24)*0.65*'Travel Time - Value'!$B$19))*(1/3600)*365</f>
        <v>-4390.6781150283314</v>
      </c>
      <c r="M24" s="75">
        <f t="shared" si="0"/>
        <v>-27.113830333333336</v>
      </c>
      <c r="N24" s="76">
        <f>((C24*E24*(F24-G24)*0.15*'Travel Time - Value'!$B$20)+(C24*E24*(H24-I24)*0.2*'Travel Time - Value'!$B$20)+(C24*E24*(J24-K24)*0.65*'Travel Time - Value'!$B$20))*(1/3600)*365</f>
        <v>-203.35372749999993</v>
      </c>
      <c r="O24" s="300"/>
      <c r="P24" s="300"/>
      <c r="Q24" s="300"/>
      <c r="R24" s="300"/>
      <c r="S24" s="300"/>
      <c r="T24" s="300"/>
    </row>
    <row r="25" spans="1:20" x14ac:dyDescent="0.25">
      <c r="A25" s="68">
        <v>36</v>
      </c>
      <c r="B25" s="6" t="s">
        <v>27</v>
      </c>
      <c r="C25" s="6">
        <v>42974</v>
      </c>
      <c r="D25" s="69">
        <v>3.0000000000000001E-3</v>
      </c>
      <c r="E25" s="70">
        <v>5.0999999999999997E-2</v>
      </c>
      <c r="F25" s="68">
        <v>49</v>
      </c>
      <c r="G25" s="71">
        <v>37.9</v>
      </c>
      <c r="H25" s="72">
        <v>37.299999999999997</v>
      </c>
      <c r="I25" s="73">
        <v>34.6</v>
      </c>
      <c r="J25" s="68">
        <v>31</v>
      </c>
      <c r="K25" s="71">
        <v>28.4</v>
      </c>
      <c r="L25" s="74">
        <f>((C25*(1-(D25+E25))*(F25-G25)*0.15*'Travel Time - Value'!$B$19)+(C25*(1-(D25+E25))*(H25-I25)*0.2*'Travel Time - Value'!$B$19)+(C25*(1-(D25+E25))*(J25-K25)*0.65*'Travel Time - Value'!$B$19))*(1/3600)*365</f>
        <v>22315.650028628606</v>
      </c>
      <c r="M25" s="75">
        <f t="shared" si="0"/>
        <v>50.91255120833334</v>
      </c>
      <c r="N25" s="76">
        <f>((C25*E25*(F25-G25)*0.15*'Travel Time - Value'!$B$20)+(C25*E25*(H25-I25)*0.2*'Travel Time - Value'!$B$20)+(C25*E25*(J25-K25)*0.65*'Travel Time - Value'!$B$20))*(1/3600)*365</f>
        <v>865.51337054166675</v>
      </c>
      <c r="O25" s="300"/>
      <c r="P25" s="300"/>
      <c r="Q25" s="300"/>
      <c r="R25" s="300"/>
      <c r="S25" s="300"/>
      <c r="T25" s="300"/>
    </row>
    <row r="26" spans="1:20" x14ac:dyDescent="0.25">
      <c r="A26" s="68">
        <v>41</v>
      </c>
      <c r="B26" s="6" t="s">
        <v>26</v>
      </c>
      <c r="C26" s="6">
        <v>39444</v>
      </c>
      <c r="D26" s="69">
        <v>8.0000000000000002E-3</v>
      </c>
      <c r="E26" s="70">
        <v>0.06</v>
      </c>
      <c r="F26" s="68">
        <v>13.4</v>
      </c>
      <c r="G26" s="71">
        <v>10.5</v>
      </c>
      <c r="H26" s="72">
        <v>40.9</v>
      </c>
      <c r="I26" s="73">
        <v>26.1</v>
      </c>
      <c r="J26" s="68">
        <v>32.5</v>
      </c>
      <c r="K26" s="71">
        <v>20.399999999999999</v>
      </c>
      <c r="L26" s="74">
        <f>((C26*(1-(D26+E26))*(F26-G26)*0.15*'Travel Time - Value'!$B$19)+(C26*(1-(D26+E26))*(H26-I26)*0.2*'Travel Time - Value'!$B$19)+(C26*(1-(D26+E26))*(J26-K26)*0.65*'Travel Time - Value'!$B$19))*(1/3600)*365</f>
        <v>58336.506397746663</v>
      </c>
      <c r="M26" s="75">
        <f t="shared" si="0"/>
        <v>360.24643466666669</v>
      </c>
      <c r="N26" s="76">
        <f>((C26*E26*(F26-G26)*0.15*'Travel Time - Value'!$B$20)+(C26*E26*(H26-I26)*0.2*'Travel Time - Value'!$B$20)+(C26*E26*(J26-K26)*0.65*'Travel Time - Value'!$B$20))*(1/3600)*365</f>
        <v>2701.8482600000002</v>
      </c>
      <c r="O26" s="300"/>
      <c r="P26" s="300"/>
      <c r="Q26" s="300"/>
      <c r="R26" s="300"/>
      <c r="S26" s="300"/>
      <c r="T26" s="300"/>
    </row>
    <row r="27" spans="1:20" x14ac:dyDescent="0.25">
      <c r="A27" s="68">
        <v>41</v>
      </c>
      <c r="B27" s="6" t="s">
        <v>27</v>
      </c>
      <c r="C27" s="6">
        <v>43926</v>
      </c>
      <c r="D27" s="69">
        <v>3.0000000000000001E-3</v>
      </c>
      <c r="E27" s="70">
        <v>5.0999999999999997E-2</v>
      </c>
      <c r="F27" s="68">
        <v>15.4</v>
      </c>
      <c r="G27" s="71">
        <v>15.3</v>
      </c>
      <c r="H27" s="72">
        <v>13.8</v>
      </c>
      <c r="I27" s="73">
        <v>13.8</v>
      </c>
      <c r="J27" s="68">
        <v>14</v>
      </c>
      <c r="K27" s="71">
        <v>14.2</v>
      </c>
      <c r="L27" s="74">
        <f>((C27*(1-(D27+E27))*(F27-G27)*0.15*'Travel Time - Value'!$B$19)+(C27*(1-(D27+E27))*(H27-I27)*0.2*'Travel Time - Value'!$B$19)+(C27*(1-(D27+E27))*(J27-K27)*0.65*'Travel Time - Value'!$B$19))*(1/3600)*365</f>
        <v>-673.46619031083094</v>
      </c>
      <c r="M27" s="75">
        <f t="shared" si="0"/>
        <v>-1.5364948749999943</v>
      </c>
      <c r="N27" s="76">
        <f>((C27*E27*(F27-G27)*0.15*'Travel Time - Value'!$B$20)+(C27*E27*(H27-I27)*0.2*'Travel Time - Value'!$B$20)+(C27*E27*(J27-K27)*0.65*'Travel Time - Value'!$B$20))*(1/3600)*365</f>
        <v>-26.120412874999904</v>
      </c>
      <c r="O27" s="300"/>
      <c r="P27" s="300"/>
      <c r="Q27" s="300"/>
      <c r="R27" s="300"/>
      <c r="S27" s="300"/>
      <c r="T27" s="300"/>
    </row>
    <row r="28" spans="1:20" x14ac:dyDescent="0.25">
      <c r="A28" s="68">
        <v>42</v>
      </c>
      <c r="B28" s="6" t="s">
        <v>26</v>
      </c>
      <c r="C28" s="6">
        <v>43926</v>
      </c>
      <c r="D28" s="69">
        <v>2E-3</v>
      </c>
      <c r="E28" s="70">
        <v>6.3E-2</v>
      </c>
      <c r="F28" s="68">
        <v>18.5</v>
      </c>
      <c r="G28" s="71">
        <v>19.100000000000001</v>
      </c>
      <c r="H28" s="72">
        <v>108</v>
      </c>
      <c r="I28" s="73">
        <v>71</v>
      </c>
      <c r="J28" s="68">
        <v>100.2</v>
      </c>
      <c r="K28" s="71">
        <v>54.9</v>
      </c>
      <c r="L28" s="74">
        <f>((C28*(1-(D28+E28))*(F28-G28)*0.15*'Travel Time - Value'!$B$19)+(C28*(1-(D28+E28))*(H28-I28)*0.2*'Travel Time - Value'!$B$19)+(C28*(1-(D28+E28))*(J28-K28)*0.65*'Travel Time - Value'!$B$19))*(1/3600)*365</f>
        <v>212742.79424816463</v>
      </c>
      <c r="M28" s="75">
        <f t="shared" si="0"/>
        <v>327.38474858333336</v>
      </c>
      <c r="N28" s="76">
        <f>((C28*E28*(F28-G28)*0.15*'Travel Time - Value'!$B$20)+(C28*E28*(H28-I28)*0.2*'Travel Time - Value'!$B$20)+(C28*E28*(J28-K28)*0.65*'Travel Time - Value'!$B$20))*(1/3600)*365</f>
        <v>10312.619580375003</v>
      </c>
      <c r="O28" s="300"/>
      <c r="P28" s="300"/>
      <c r="Q28" s="300"/>
      <c r="R28" s="300"/>
      <c r="S28" s="300"/>
      <c r="T28" s="300"/>
    </row>
    <row r="29" spans="1:20" x14ac:dyDescent="0.25">
      <c r="A29" s="68">
        <v>42</v>
      </c>
      <c r="B29" s="6" t="s">
        <v>27</v>
      </c>
      <c r="C29" s="6">
        <v>47125</v>
      </c>
      <c r="D29" s="69">
        <v>3.0000000000000001E-3</v>
      </c>
      <c r="E29" s="70">
        <v>5.0999999999999997E-2</v>
      </c>
      <c r="F29" s="68">
        <v>19.8</v>
      </c>
      <c r="G29" s="71">
        <v>18.100000000000001</v>
      </c>
      <c r="H29" s="72">
        <v>17.600000000000001</v>
      </c>
      <c r="I29" s="73">
        <v>17.100000000000001</v>
      </c>
      <c r="J29" s="68">
        <v>18.2</v>
      </c>
      <c r="K29" s="71">
        <v>17.3</v>
      </c>
      <c r="L29" s="74">
        <f>((C29*(1-(D29+E29))*(F29-G29)*0.15*'Travel Time - Value'!$B$19)+(C29*(1-(D29+E29))*(H29-I29)*0.2*'Travel Time - Value'!$B$19)+(C29*(1-(D29+E29))*(J29-K29)*0.65*'Travel Time - Value'!$B$19))*(1/3600)*365</f>
        <v>5905.7562353472158</v>
      </c>
      <c r="M29" s="75">
        <f t="shared" si="0"/>
        <v>13.473822916666654</v>
      </c>
      <c r="N29" s="76">
        <f>((C29*E29*(F29-G29)*0.15*'Travel Time - Value'!$B$20)+(C29*E29*(H29-I29)*0.2*'Travel Time - Value'!$B$20)+(C29*E29*(J29-K29)*0.65*'Travel Time - Value'!$B$20))*(1/3600)*365</f>
        <v>229.05498958333311</v>
      </c>
      <c r="O29" s="300"/>
      <c r="P29" s="300"/>
      <c r="Q29" s="300"/>
      <c r="R29" s="300"/>
      <c r="S29" s="300"/>
      <c r="T29" s="300"/>
    </row>
    <row r="30" spans="1:20" x14ac:dyDescent="0.25">
      <c r="A30" s="68">
        <v>116</v>
      </c>
      <c r="B30" s="6" t="s">
        <v>26</v>
      </c>
      <c r="C30" s="6">
        <v>48682</v>
      </c>
      <c r="D30" s="69">
        <v>2E-3</v>
      </c>
      <c r="E30" s="70">
        <v>4.2000000000000003E-2</v>
      </c>
      <c r="F30" s="68">
        <v>38.799999999999997</v>
      </c>
      <c r="G30" s="71">
        <v>41.4</v>
      </c>
      <c r="H30" s="72">
        <v>155.69999999999999</v>
      </c>
      <c r="I30" s="73">
        <v>153.69999999999999</v>
      </c>
      <c r="J30" s="68">
        <v>38.4</v>
      </c>
      <c r="K30" s="71">
        <v>40.200000000000003</v>
      </c>
      <c r="L30" s="74">
        <f>((C30*(1-(D30+E30))*(F30-G30)*0.15*'Travel Time - Value'!$B$19)+(C30*(1-(D30+E30))*(H30-I30)*0.2*'Travel Time - Value'!$B$19)+(C30*(1-(D30+E30))*(J30-K30)*0.65*'Travel Time - Value'!$B$19))*(1/3600)*365</f>
        <v>-7608.3320366089074</v>
      </c>
      <c r="M30" s="75">
        <f t="shared" si="0"/>
        <v>-11.451088222222252</v>
      </c>
      <c r="N30" s="76">
        <f>((C30*E30*(F30-G30)*0.15*'Travel Time - Value'!$B$20)+(C30*E30*(H30-I30)*0.2*'Travel Time - Value'!$B$20)+(C30*E30*(J30-K30)*0.65*'Travel Time - Value'!$B$20))*(1/3600)*365</f>
        <v>-240.47285266666731</v>
      </c>
      <c r="O30" s="300"/>
      <c r="P30" s="300"/>
      <c r="Q30" s="300"/>
      <c r="R30" s="300"/>
      <c r="S30" s="300"/>
      <c r="T30" s="300"/>
    </row>
    <row r="31" spans="1:20" x14ac:dyDescent="0.25">
      <c r="A31" s="68">
        <v>116</v>
      </c>
      <c r="B31" s="6" t="s">
        <v>27</v>
      </c>
      <c r="C31" s="6">
        <v>1534</v>
      </c>
      <c r="D31" s="69">
        <v>2E-3</v>
      </c>
      <c r="E31" s="70">
        <v>4.2000000000000003E-2</v>
      </c>
      <c r="F31" s="68">
        <v>28.4</v>
      </c>
      <c r="G31" s="71">
        <v>33.9</v>
      </c>
      <c r="H31" s="72">
        <v>28.3</v>
      </c>
      <c r="I31" s="73">
        <v>34.1</v>
      </c>
      <c r="J31" s="68">
        <v>28.3</v>
      </c>
      <c r="K31" s="71">
        <v>31.1</v>
      </c>
      <c r="L31" s="74">
        <f>((C31*(1-(D31+E31))*(F31-G31)*0.15*'Travel Time - Value'!$B$19)+(C31*(1-(D31+E31))*(H31-I31)*0.2*'Travel Time - Value'!$B$19)+(C31*(1-(D31+E31))*(J31-K31)*0.65*'Travel Time - Value'!$B$19))*(1/3600)*365</f>
        <v>-786.39922520611117</v>
      </c>
      <c r="M31" s="75">
        <f t="shared" si="0"/>
        <v>-1.1835875277777781</v>
      </c>
      <c r="N31" s="76">
        <f>((C31*E31*(F31-G31)*0.15*'Travel Time - Value'!$B$20)+(C31*E31*(H31-I31)*0.2*'Travel Time - Value'!$B$20)+(C31*E31*(J31-K31)*0.65*'Travel Time - Value'!$B$20))*(1/3600)*365</f>
        <v>-24.855338083333336</v>
      </c>
      <c r="O31" s="300"/>
      <c r="P31" s="300"/>
      <c r="Q31" s="300"/>
      <c r="R31" s="300"/>
      <c r="S31" s="300"/>
      <c r="T31" s="300"/>
    </row>
    <row r="32" spans="1:20" x14ac:dyDescent="0.25">
      <c r="A32" s="68">
        <v>275</v>
      </c>
      <c r="B32" s="6" t="s">
        <v>26</v>
      </c>
      <c r="C32" s="6">
        <v>36956</v>
      </c>
      <c r="D32" s="69">
        <v>1E-3</v>
      </c>
      <c r="E32" s="70">
        <v>6.2E-2</v>
      </c>
      <c r="F32" s="68">
        <v>19.899999999999999</v>
      </c>
      <c r="G32" s="71">
        <v>18.600000000000001</v>
      </c>
      <c r="H32" s="72">
        <v>54.3</v>
      </c>
      <c r="I32" s="73">
        <v>19.2</v>
      </c>
      <c r="J32" s="68">
        <v>19.8</v>
      </c>
      <c r="K32" s="71">
        <v>16</v>
      </c>
      <c r="L32" s="74">
        <f>((C32*(1-(D32+E32))*(F32-G32)*0.15*'Travel Time - Value'!$B$19)+(C32*(1-(D32+E32))*(H32-I32)*0.2*'Travel Time - Value'!$B$19)+(C32*(1-(D32+E32))*(J32-K32)*0.65*'Travel Time - Value'!$B$19))*(1/3600)*365</f>
        <v>47263.876445243623</v>
      </c>
      <c r="M32" s="75">
        <f t="shared" si="0"/>
        <v>36.288995527777779</v>
      </c>
      <c r="N32" s="76">
        <f>((C32*E32*(F32-G32)*0.15*'Travel Time - Value'!$B$20)+(C32*E32*(H32-I32)*0.2*'Travel Time - Value'!$B$20)+(C32*E32*(J32-K32)*0.65*'Travel Time - Value'!$B$20))*(1/3600)*365</f>
        <v>2249.9177227222217</v>
      </c>
      <c r="O32" s="300"/>
      <c r="P32" s="300"/>
      <c r="Q32" s="300"/>
      <c r="R32" s="300"/>
      <c r="S32" s="300"/>
      <c r="T32" s="300"/>
    </row>
    <row r="33" spans="1:20" x14ac:dyDescent="0.25">
      <c r="A33" s="68">
        <v>275</v>
      </c>
      <c r="B33" s="6" t="s">
        <v>27</v>
      </c>
      <c r="C33" s="6">
        <v>39336</v>
      </c>
      <c r="D33" s="69">
        <v>2E-3</v>
      </c>
      <c r="E33" s="70">
        <v>4.9000000000000002E-2</v>
      </c>
      <c r="F33" s="68">
        <v>21.1</v>
      </c>
      <c r="G33" s="71">
        <v>19.3</v>
      </c>
      <c r="H33" s="72">
        <v>20.6</v>
      </c>
      <c r="I33" s="73">
        <v>19.3</v>
      </c>
      <c r="J33" s="68">
        <v>17.600000000000001</v>
      </c>
      <c r="K33" s="71">
        <v>16.399999999999999</v>
      </c>
      <c r="L33" s="74">
        <f>((C33*(1-(D33+E33))*(F33-G33)*0.15*'Travel Time - Value'!$B$19)+(C33*(1-(D33+E33))*(H33-I33)*0.2*'Travel Time - Value'!$B$19)+(C33*(1-(D33+E33))*(J33-K33)*0.65*'Travel Time - Value'!$B$19))*(1/3600)*365</f>
        <v>6891.8031987566765</v>
      </c>
      <c r="M33" s="75">
        <f t="shared" si="0"/>
        <v>10.449171333333348</v>
      </c>
      <c r="N33" s="76">
        <f>((C33*E33*(F33-G33)*0.15*'Travel Time - Value'!$B$20)+(C33*E33*(H33-I33)*0.2*'Travel Time - Value'!$B$20)+(C33*E33*(J33-K33)*0.65*'Travel Time - Value'!$B$20))*(1/3600)*365</f>
        <v>256.00469766666714</v>
      </c>
      <c r="O33" s="300"/>
      <c r="P33" s="300"/>
      <c r="Q33" s="300"/>
      <c r="R33" s="300"/>
      <c r="S33" s="300"/>
      <c r="T33" s="300"/>
    </row>
    <row r="34" spans="1:20" x14ac:dyDescent="0.25">
      <c r="A34" s="68">
        <v>277</v>
      </c>
      <c r="B34" s="6" t="s">
        <v>26</v>
      </c>
      <c r="C34" s="6">
        <v>42416</v>
      </c>
      <c r="D34" s="69">
        <v>1E-3</v>
      </c>
      <c r="E34" s="70">
        <v>5.8000000000000003E-2</v>
      </c>
      <c r="F34" s="68">
        <v>21.9</v>
      </c>
      <c r="G34" s="71">
        <v>28.4</v>
      </c>
      <c r="H34" s="72">
        <v>38.1</v>
      </c>
      <c r="I34" s="73">
        <v>31.4</v>
      </c>
      <c r="J34" s="68">
        <v>21.3</v>
      </c>
      <c r="K34" s="71">
        <v>23</v>
      </c>
      <c r="L34" s="74">
        <f>((C34*(1-(D34+E34))*(F34-G34)*0.15*'Travel Time - Value'!$B$19)+(C34*(1-(D34+E34))*(H34-I34)*0.2*'Travel Time - Value'!$B$19)+(C34*(1-(D34+E34))*(J34-K34)*0.65*'Travel Time - Value'!$B$19))*(1/3600)*365</f>
        <v>-4162.5188908844375</v>
      </c>
      <c r="M34" s="75">
        <f t="shared" si="0"/>
        <v>-3.1823782222222183</v>
      </c>
      <c r="N34" s="76">
        <f>((C34*E34*(F34-G34)*0.15*'Travel Time - Value'!$B$20)+(C34*E34*(H34-I34)*0.2*'Travel Time - Value'!$B$20)+(C34*E34*(J34-K34)*0.65*'Travel Time - Value'!$B$20))*(1/3600)*365</f>
        <v>-184.57793688888864</v>
      </c>
      <c r="O34" s="300"/>
      <c r="P34" s="300"/>
      <c r="Q34" s="300"/>
      <c r="R34" s="300"/>
      <c r="S34" s="300"/>
      <c r="T34" s="300"/>
    </row>
    <row r="35" spans="1:20" x14ac:dyDescent="0.25">
      <c r="A35" s="68">
        <v>277</v>
      </c>
      <c r="B35" s="6" t="s">
        <v>27</v>
      </c>
      <c r="C35" s="6">
        <v>43514</v>
      </c>
      <c r="D35" s="69">
        <v>1E-3</v>
      </c>
      <c r="E35" s="70">
        <v>4.9500000000000002E-2</v>
      </c>
      <c r="F35" s="68">
        <v>80.599999999999994</v>
      </c>
      <c r="G35" s="71">
        <v>33.4</v>
      </c>
      <c r="H35" s="72">
        <v>24</v>
      </c>
      <c r="I35" s="73">
        <v>24.3</v>
      </c>
      <c r="J35" s="68">
        <v>22</v>
      </c>
      <c r="K35" s="71">
        <v>21.9</v>
      </c>
      <c r="L35" s="74">
        <f>((C35*(1-(D35+E35))*(F35-G35)*0.15*'Travel Time - Value'!$B$19)+(C35*(1-(D35+E35))*(H35-I35)*0.2*'Travel Time - Value'!$B$19)+(C35*(1-(D35+E35))*(J35-K35)*0.65*'Travel Time - Value'!$B$19))*(1/3600)*365</f>
        <v>41254.278395858128</v>
      </c>
      <c r="M35" s="75">
        <f t="shared" si="0"/>
        <v>31.257858847222224</v>
      </c>
      <c r="N35" s="76">
        <f>((C35*E35*(F35-G35)*0.15*'Travel Time - Value'!$B$20)+(C35*E35*(H35-I35)*0.2*'Travel Time - Value'!$B$20)+(C35*E35*(J35-K35)*0.65*'Travel Time - Value'!$B$20))*(1/3600)*365</f>
        <v>1547.2640129375002</v>
      </c>
      <c r="O35" s="300"/>
      <c r="P35" s="300"/>
      <c r="Q35" s="300"/>
      <c r="R35" s="300"/>
      <c r="S35" s="300"/>
      <c r="T35" s="300"/>
    </row>
    <row r="36" spans="1:20" x14ac:dyDescent="0.25">
      <c r="A36" s="68">
        <v>377</v>
      </c>
      <c r="B36" s="6" t="s">
        <v>26</v>
      </c>
      <c r="C36" s="6">
        <v>37776</v>
      </c>
      <c r="D36" s="69">
        <v>6.0000000000000001E-3</v>
      </c>
      <c r="E36" s="70">
        <v>4.3999999999999997E-2</v>
      </c>
      <c r="F36" s="68">
        <v>21.9</v>
      </c>
      <c r="G36" s="71">
        <v>17</v>
      </c>
      <c r="H36" s="72">
        <v>75.3</v>
      </c>
      <c r="I36" s="73">
        <v>72.400000000000006</v>
      </c>
      <c r="J36" s="68">
        <v>18.600000000000001</v>
      </c>
      <c r="K36" s="71">
        <v>18</v>
      </c>
      <c r="L36" s="74">
        <f>((C36*(1-(D36+E36))*(F36-G36)*0.15*'Travel Time - Value'!$B$19)+(C36*(1-(D36+E36))*(H36-I36)*0.2*'Travel Time - Value'!$B$19)+(C36*(1-(D36+E36))*(J36-K36)*0.65*'Travel Time - Value'!$B$19))*(1/3600)*365</f>
        <v>8623.2131718333276</v>
      </c>
      <c r="M36" s="75">
        <f t="shared" si="0"/>
        <v>39.181581999999977</v>
      </c>
      <c r="N36" s="76">
        <f>((C36*E36*(F36-G36)*0.15*'Travel Time - Value'!$B$20)+(C36*E36*(H36-I36)*0.2*'Travel Time - Value'!$B$20)+(C36*E36*(J36-K36)*0.65*'Travel Time - Value'!$B$20))*(1/3600)*365</f>
        <v>287.3316013333332</v>
      </c>
      <c r="O36" s="300"/>
      <c r="P36" s="300"/>
      <c r="Q36" s="300"/>
      <c r="R36" s="300"/>
      <c r="S36" s="300"/>
      <c r="T36" s="300"/>
    </row>
    <row r="37" spans="1:20" x14ac:dyDescent="0.25">
      <c r="A37" s="68">
        <v>377</v>
      </c>
      <c r="B37" s="6" t="s">
        <v>27</v>
      </c>
      <c r="C37" s="6">
        <v>38158</v>
      </c>
      <c r="D37" s="69">
        <v>5.0000000000000001E-3</v>
      </c>
      <c r="E37" s="70">
        <v>4.5999999999999999E-2</v>
      </c>
      <c r="F37" s="68">
        <v>22.3</v>
      </c>
      <c r="G37" s="71">
        <v>19.2</v>
      </c>
      <c r="H37" s="72">
        <v>286.8</v>
      </c>
      <c r="I37" s="73">
        <v>203.4</v>
      </c>
      <c r="J37" s="68">
        <v>18.100000000000001</v>
      </c>
      <c r="K37" s="71">
        <v>17.100000000000001</v>
      </c>
      <c r="L37" s="74">
        <f>((C37*(1-(D37+E37))*(F37-G37)*0.15*'Travel Time - Value'!$B$19)+(C37*(1-(D37+E37))*(H37-I37)*0.2*'Travel Time - Value'!$B$19)+(C37*(1-(D37+E37))*(J37-K37)*0.65*'Travel Time - Value'!$B$19))*(1/3600)*365</f>
        <v>90814.453202219855</v>
      </c>
      <c r="M37" s="75">
        <f t="shared" si="0"/>
        <v>344.22623284722226</v>
      </c>
      <c r="N37" s="76">
        <f>((C37*E37*(F37-G37)*0.15*'Travel Time - Value'!$B$20)+(C37*E37*(H37-I37)*0.2*'Travel Time - Value'!$B$20)+(C37*E37*(J37-K37)*0.65*'Travel Time - Value'!$B$20))*(1/3600)*365</f>
        <v>3166.8813421944451</v>
      </c>
      <c r="O37" s="300"/>
      <c r="P37" s="300"/>
      <c r="Q37" s="300"/>
      <c r="R37" s="300"/>
      <c r="S37" s="300"/>
      <c r="T37" s="300"/>
    </row>
    <row r="38" spans="1:20" x14ac:dyDescent="0.25">
      <c r="A38" s="68">
        <v>457</v>
      </c>
      <c r="B38" s="6" t="s">
        <v>26</v>
      </c>
      <c r="C38" s="6">
        <v>46261</v>
      </c>
      <c r="D38" s="69">
        <v>2E-3</v>
      </c>
      <c r="E38" s="70">
        <v>4.2000000000000003E-2</v>
      </c>
      <c r="F38" s="68">
        <v>18.2</v>
      </c>
      <c r="G38" s="71">
        <v>13.7</v>
      </c>
      <c r="H38" s="72">
        <v>36.6</v>
      </c>
      <c r="I38" s="73">
        <v>31.8</v>
      </c>
      <c r="J38" s="68">
        <v>42.3</v>
      </c>
      <c r="K38" s="71">
        <v>34.700000000000003</v>
      </c>
      <c r="L38" s="74">
        <f>((C38*(1-(D38+E38))*(F38-G38)*0.15*'Travel Time - Value'!$B$19)+(C38*(1-(D38+E38))*(H38-I38)*0.2*'Travel Time - Value'!$B$19)+(C38*(1-(D38+E38))*(J38-K38)*0.65*'Travel Time - Value'!$B$19))*(1/3600)*365</f>
        <v>40980.176997943025</v>
      </c>
      <c r="M38" s="75">
        <f t="shared" si="0"/>
        <v>61.678120763888863</v>
      </c>
      <c r="N38" s="76">
        <f>((C38*E38*(F38-G38)*0.15*'Travel Time - Value'!$B$20)+(C38*E38*(H38-I38)*0.2*'Travel Time - Value'!$B$20)+(C38*E38*(J38-K38)*0.65*'Travel Time - Value'!$B$20))*(1/3600)*365</f>
        <v>1295.2405360416662</v>
      </c>
      <c r="O38" s="300"/>
      <c r="P38" s="300"/>
      <c r="Q38" s="300"/>
      <c r="R38" s="300"/>
      <c r="S38" s="300"/>
      <c r="T38" s="300"/>
    </row>
    <row r="39" spans="1:20" x14ac:dyDescent="0.25">
      <c r="A39" s="68">
        <v>457</v>
      </c>
      <c r="B39" s="6" t="s">
        <v>27</v>
      </c>
      <c r="C39" s="6">
        <v>5002</v>
      </c>
      <c r="D39" s="69">
        <v>2E-3</v>
      </c>
      <c r="E39" s="70">
        <v>4.2000000000000003E-2</v>
      </c>
      <c r="F39" s="68">
        <v>17.8</v>
      </c>
      <c r="G39" s="71">
        <v>16.100000000000001</v>
      </c>
      <c r="H39" s="72">
        <v>16.5</v>
      </c>
      <c r="I39" s="73">
        <v>15.8</v>
      </c>
      <c r="J39" s="68">
        <v>11.5</v>
      </c>
      <c r="K39" s="71">
        <v>11.4</v>
      </c>
      <c r="L39" s="74">
        <f>((C39*(1-(D39+E39))*(F39-G39)*0.15*'Travel Time - Value'!$B$19)+(C39*(1-(D39+E39))*(H39-I39)*0.2*'Travel Time - Value'!$B$19)+(C39*(1-(D39+E39))*(J39-K39)*0.65*'Travel Time - Value'!$B$19))*(1/3600)*365</f>
        <v>310.00205679777736</v>
      </c>
      <c r="M39" s="75">
        <f t="shared" si="0"/>
        <v>0.46657544444444393</v>
      </c>
      <c r="N39" s="76">
        <f>((C39*E39*(F39-G39)*0.15*'Travel Time - Value'!$B$20)+(C39*E39*(H39-I39)*0.2*'Travel Time - Value'!$B$20)+(C39*E39*(J39-K39)*0.65*'Travel Time - Value'!$B$20))*(1/3600)*365</f>
        <v>9.798084333333323</v>
      </c>
      <c r="O39" s="300"/>
      <c r="P39" s="300"/>
      <c r="Q39" s="300"/>
      <c r="R39" s="300"/>
      <c r="S39" s="300"/>
      <c r="T39" s="300"/>
    </row>
    <row r="40" spans="1:20" x14ac:dyDescent="0.25">
      <c r="A40" s="68">
        <v>458</v>
      </c>
      <c r="B40" s="6" t="s">
        <v>26</v>
      </c>
      <c r="C40" s="6">
        <v>7889</v>
      </c>
      <c r="D40" s="69">
        <v>3.0000000000000001E-3</v>
      </c>
      <c r="E40" s="70">
        <v>4.8000000000000001E-2</v>
      </c>
      <c r="F40" s="68">
        <v>12.8</v>
      </c>
      <c r="G40" s="71">
        <v>12</v>
      </c>
      <c r="H40" s="72">
        <v>18.2</v>
      </c>
      <c r="I40" s="73">
        <v>18.600000000000001</v>
      </c>
      <c r="J40" s="68">
        <v>20.5</v>
      </c>
      <c r="K40" s="71">
        <v>19.899999999999999</v>
      </c>
      <c r="L40" s="74">
        <f>((C40*(1-(D40+E40))*(F40-G40)*0.15*'Travel Time - Value'!$B$19)+(C40*(1-(D40+E40))*(H40-I40)*0.2*'Travel Time - Value'!$B$19)+(C40*(1-(D40+E40))*(J40-K40)*0.65*'Travel Time - Value'!$B$19))*(1/3600)*365</f>
        <v>453.69269641402843</v>
      </c>
      <c r="M40" s="75">
        <f t="shared" si="0"/>
        <v>1.0318154583333348</v>
      </c>
      <c r="N40" s="76">
        <f>((C40*E40*(F40-G40)*0.15*'Travel Time - Value'!$B$20)+(C40*E40*(H40-I40)*0.2*'Travel Time - Value'!$B$20)+(C40*E40*(J40-K40)*0.65*'Travel Time - Value'!$B$20))*(1/3600)*365</f>
        <v>16.509047333333356</v>
      </c>
      <c r="O40" s="300"/>
      <c r="P40" s="300"/>
      <c r="Q40" s="300"/>
      <c r="R40" s="300"/>
      <c r="S40" s="300"/>
      <c r="T40" s="300"/>
    </row>
    <row r="41" spans="1:20" x14ac:dyDescent="0.25">
      <c r="A41" s="68">
        <v>458</v>
      </c>
      <c r="B41" s="6" t="s">
        <v>27</v>
      </c>
      <c r="C41" s="6">
        <v>43978</v>
      </c>
      <c r="D41" s="69">
        <v>2E-3</v>
      </c>
      <c r="E41" s="70">
        <v>4.8000000000000001E-2</v>
      </c>
      <c r="F41" s="68">
        <v>54.3</v>
      </c>
      <c r="G41" s="71">
        <v>34</v>
      </c>
      <c r="H41" s="72">
        <v>85.4</v>
      </c>
      <c r="I41" s="73">
        <v>70</v>
      </c>
      <c r="J41" s="68">
        <v>33.299999999999997</v>
      </c>
      <c r="K41" s="71">
        <v>32.9</v>
      </c>
      <c r="L41" s="74">
        <f>((C41*(1-(D41+E41))*(F41-G41)*0.15*'Travel Time - Value'!$B$19)+(C41*(1-(D41+E41))*(H41-I41)*0.2*'Travel Time - Value'!$B$19)+(C41*(1-(D41+E41))*(J41-K41)*0.65*'Travel Time - Value'!$B$19))*(1/3600)*365</f>
        <v>37594.572074506941</v>
      </c>
      <c r="M41" s="75">
        <f t="shared" si="0"/>
        <v>56.939904694444444</v>
      </c>
      <c r="N41" s="76">
        <f>((C41*E41*(F41-G41)*0.15*'Travel Time - Value'!$B$20)+(C41*E41*(H41-I41)*0.2*'Travel Time - Value'!$B$20)+(C41*E41*(J41-K41)*0.65*'Travel Time - Value'!$B$20))*(1/3600)*365</f>
        <v>1366.5577126666667</v>
      </c>
      <c r="O41" s="300"/>
      <c r="P41" s="300"/>
      <c r="Q41" s="300"/>
      <c r="R41" s="300"/>
      <c r="S41" s="300"/>
      <c r="T41" s="300"/>
    </row>
    <row r="42" spans="1:20" x14ac:dyDescent="0.25">
      <c r="A42" s="68">
        <v>530</v>
      </c>
      <c r="B42" s="6" t="s">
        <v>26</v>
      </c>
      <c r="C42" s="6">
        <v>32896</v>
      </c>
      <c r="D42" s="69">
        <v>5.0000000000000001E-3</v>
      </c>
      <c r="E42" s="70">
        <v>0.05</v>
      </c>
      <c r="F42" s="68">
        <v>35.5</v>
      </c>
      <c r="G42" s="71">
        <v>20.2</v>
      </c>
      <c r="H42" s="72">
        <v>37.4</v>
      </c>
      <c r="I42" s="73">
        <v>45.9</v>
      </c>
      <c r="J42" s="68">
        <v>28.3</v>
      </c>
      <c r="K42" s="71">
        <v>21.7</v>
      </c>
      <c r="L42" s="74">
        <f>((C42*(1-(D42+E42))*(F42-G42)*0.15*'Travel Time - Value'!$B$19)+(C42*(1-(D42+E42))*(H42-I42)*0.2*'Travel Time - Value'!$B$19)+(C42*(1-(D42+E42))*(J42-K42)*0.65*'Travel Time - Value'!$B$19))*(1/3600)*365</f>
        <v>21401.520697199998</v>
      </c>
      <c r="M42" s="75">
        <f t="shared" si="0"/>
        <v>81.464431111111125</v>
      </c>
      <c r="N42" s="76">
        <f>((C42*E42*(F42-G42)*0.15*'Travel Time - Value'!$B$20)+(C42*E42*(H42-I42)*0.2*'Travel Time - Value'!$B$20)+(C42*E42*(J42-K42)*0.65*'Travel Time - Value'!$B$20))*(1/3600)*365</f>
        <v>814.64431111111139</v>
      </c>
      <c r="O42" s="300"/>
      <c r="P42" s="300"/>
      <c r="Q42" s="300"/>
      <c r="R42" s="300"/>
      <c r="S42" s="300"/>
      <c r="T42" s="300"/>
    </row>
    <row r="43" spans="1:20" x14ac:dyDescent="0.25">
      <c r="A43" s="68">
        <v>530</v>
      </c>
      <c r="B43" s="6" t="s">
        <v>27</v>
      </c>
      <c r="C43" s="6">
        <v>18872</v>
      </c>
      <c r="D43" s="69">
        <v>6.0000000000000001E-3</v>
      </c>
      <c r="E43" s="70">
        <v>3.2000000000000001E-2</v>
      </c>
      <c r="F43" s="68">
        <v>57.9</v>
      </c>
      <c r="G43" s="71">
        <v>46.9</v>
      </c>
      <c r="H43" s="72">
        <v>894.1</v>
      </c>
      <c r="I43" s="73">
        <v>501.3</v>
      </c>
      <c r="J43" s="68">
        <v>50.7</v>
      </c>
      <c r="K43" s="71">
        <v>47.5</v>
      </c>
      <c r="L43" s="74">
        <f>((C43*(1-(D43+E43))*(F43-G43)*0.15*'Travel Time - Value'!$B$19)+(C43*(1-(D43+E43))*(H43-I43)*0.2*'Travel Time - Value'!$B$19)+(C43*(1-(D43+E43))*(J43-K43)*0.65*'Travel Time - Value'!$B$19))*(1/3600)*365</f>
        <v>210545.14247372665</v>
      </c>
      <c r="M43" s="75">
        <f t="shared" si="0"/>
        <v>944.72760200000016</v>
      </c>
      <c r="N43" s="76">
        <f>((C43*E43*(F43-G43)*0.15*'Travel Time - Value'!$B$20)+(C43*E43*(H43-I43)*0.2*'Travel Time - Value'!$B$20)+(C43*E43*(J43-K43)*0.65*'Travel Time - Value'!$B$20))*(1/3600)*365</f>
        <v>5038.5472106666666</v>
      </c>
      <c r="O43" s="300"/>
      <c r="P43" s="300"/>
      <c r="Q43" s="300"/>
      <c r="R43" s="300"/>
      <c r="S43" s="300"/>
      <c r="T43" s="300"/>
    </row>
    <row r="44" spans="1:20" x14ac:dyDescent="0.25">
      <c r="A44" s="68">
        <v>564</v>
      </c>
      <c r="B44" s="6" t="s">
        <v>26</v>
      </c>
      <c r="C44" s="6">
        <v>2046</v>
      </c>
      <c r="D44" s="69">
        <v>2E-3</v>
      </c>
      <c r="E44" s="70">
        <v>4.2000000000000003E-2</v>
      </c>
      <c r="F44" s="68">
        <v>5.7</v>
      </c>
      <c r="G44" s="71">
        <v>5.6</v>
      </c>
      <c r="H44" s="72">
        <v>6.8</v>
      </c>
      <c r="I44" s="73">
        <v>11.9</v>
      </c>
      <c r="J44" s="68">
        <v>8.4</v>
      </c>
      <c r="K44" s="71">
        <v>8.3000000000000007</v>
      </c>
      <c r="L44" s="74">
        <f>((C44*(1-(D44+E44))*(F44-G44)*0.15*'Travel Time - Value'!$B$19)+(C44*(1-(D44+E44))*(H44-I44)*0.2*'Travel Time - Value'!$B$19)+(C44*(1-(D44+E44))*(J44-K44)*0.65*'Travel Time - Value'!$B$19))*(1/3600)*365</f>
        <v>-259.11737727333337</v>
      </c>
      <c r="M44" s="75">
        <f t="shared" si="0"/>
        <v>-0.38999033333333349</v>
      </c>
      <c r="N44" s="76">
        <f>((C44*E44*(F44-G44)*0.15*'Travel Time - Value'!$B$20)+(C44*E44*(H44-I44)*0.2*'Travel Time - Value'!$B$20)+(C44*E44*(J44-K44)*0.65*'Travel Time - Value'!$B$20))*(1/3600)*365</f>
        <v>-8.1897970000000022</v>
      </c>
      <c r="O44" s="300"/>
      <c r="P44" s="300"/>
      <c r="Q44" s="300"/>
      <c r="R44" s="300"/>
      <c r="S44" s="300"/>
      <c r="T44" s="300"/>
    </row>
    <row r="45" spans="1:20" x14ac:dyDescent="0.25">
      <c r="A45" s="68">
        <v>564</v>
      </c>
      <c r="B45" s="6" t="s">
        <v>27</v>
      </c>
      <c r="C45" s="6">
        <v>26591</v>
      </c>
      <c r="D45" s="69">
        <v>2E-3</v>
      </c>
      <c r="E45" s="70">
        <v>4.2000000000000003E-2</v>
      </c>
      <c r="F45" s="68">
        <v>14.7</v>
      </c>
      <c r="G45" s="71">
        <v>5.4</v>
      </c>
      <c r="H45" s="72">
        <v>15.1</v>
      </c>
      <c r="I45" s="73">
        <v>6.6</v>
      </c>
      <c r="J45" s="68">
        <v>11.1</v>
      </c>
      <c r="K45" s="71">
        <v>4.5999999999999996</v>
      </c>
      <c r="L45" s="74">
        <f>((C45*(1-(D45+E45))*(F45-G45)*0.15*'Travel Time - Value'!$B$19)+(C45*(1-(D45+E45))*(H45-I45)*0.2*'Travel Time - Value'!$B$19)+(C45*(1-(D45+E45))*(J45-K45)*0.65*'Travel Time - Value'!$B$19))*(1/3600)*365</f>
        <v>26224.596051886663</v>
      </c>
      <c r="M45" s="75">
        <f t="shared" si="0"/>
        <v>39.469907666666664</v>
      </c>
      <c r="N45" s="76">
        <f>((C45*E45*(F45-G45)*0.15*'Travel Time - Value'!$B$20)+(C45*E45*(H45-I45)*0.2*'Travel Time - Value'!$B$20)+(C45*E45*(J45-K45)*0.65*'Travel Time - Value'!$B$20))*(1/3600)*365</f>
        <v>828.86806100000013</v>
      </c>
      <c r="O45" s="300"/>
      <c r="P45" s="300"/>
      <c r="Q45" s="300"/>
      <c r="R45" s="300"/>
      <c r="S45" s="300"/>
      <c r="T45" s="300"/>
    </row>
    <row r="46" spans="1:20" x14ac:dyDescent="0.25">
      <c r="A46" s="68">
        <v>572</v>
      </c>
      <c r="B46" s="6" t="s">
        <v>26</v>
      </c>
      <c r="C46" s="6">
        <v>48682</v>
      </c>
      <c r="D46" s="69">
        <v>2E-3</v>
      </c>
      <c r="E46" s="70">
        <v>4.2000000000000003E-2</v>
      </c>
      <c r="F46" s="68">
        <v>15.2</v>
      </c>
      <c r="G46" s="71">
        <v>12.1</v>
      </c>
      <c r="H46" s="72">
        <v>33.1</v>
      </c>
      <c r="I46" s="73">
        <v>25.4</v>
      </c>
      <c r="J46" s="68">
        <v>49.1</v>
      </c>
      <c r="K46" s="71">
        <v>26.6</v>
      </c>
      <c r="L46" s="74">
        <f>((C46*(1-(D46+E46))*(F46-G46)*0.15*'Travel Time - Value'!$B$19)+(C46*(1-(D46+E46))*(H46-I46)*0.2*'Travel Time - Value'!$B$19)+(C46*(1-(D46+E46))*(J46-K46)*0.65*'Travel Time - Value'!$B$19))*(1/3600)*365</f>
        <v>109074.62221448777</v>
      </c>
      <c r="M46" s="75">
        <f t="shared" si="0"/>
        <v>164.16516994444447</v>
      </c>
      <c r="N46" s="76">
        <f>((C46*E46*(F46-G46)*0.15*'Travel Time - Value'!$B$20)+(C46*E46*(H46-I46)*0.2*'Travel Time - Value'!$B$20)+(C46*E46*(J46-K46)*0.65*'Travel Time - Value'!$B$20))*(1/3600)*365</f>
        <v>3447.4685688333338</v>
      </c>
      <c r="O46" s="300"/>
      <c r="P46" s="300"/>
      <c r="Q46" s="300"/>
      <c r="R46" s="300"/>
      <c r="S46" s="300"/>
      <c r="T46" s="300"/>
    </row>
    <row r="47" spans="1:20" x14ac:dyDescent="0.25">
      <c r="A47" s="68">
        <v>572</v>
      </c>
      <c r="B47" s="6" t="s">
        <v>27</v>
      </c>
      <c r="C47" s="6">
        <v>1534</v>
      </c>
      <c r="D47" s="69">
        <v>2E-3</v>
      </c>
      <c r="E47" s="70">
        <v>4.2000000000000003E-2</v>
      </c>
      <c r="F47" s="68">
        <v>20.3</v>
      </c>
      <c r="G47" s="71">
        <v>65.400000000000006</v>
      </c>
      <c r="H47" s="72">
        <v>18.5</v>
      </c>
      <c r="I47" s="73">
        <v>80.5</v>
      </c>
      <c r="J47" s="68">
        <v>15.9</v>
      </c>
      <c r="K47" s="71">
        <v>17.5</v>
      </c>
      <c r="L47" s="74">
        <f>((C47*(1-(D47+E47))*(F47-G47)*0.15*'Travel Time - Value'!$B$19)+(C47*(1-(D47+E47))*(H47-I47)*0.2*'Travel Time - Value'!$B$19)+(C47*(1-(D47+E47))*(J47-K47)*0.65*'Travel Time - Value'!$B$19))*(1/3600)*365</f>
        <v>-4175.8728896950006</v>
      </c>
      <c r="M47" s="75">
        <f t="shared" si="0"/>
        <v>-6.2849897500000012</v>
      </c>
      <c r="N47" s="76">
        <f>((C47*E47*(F47-G47)*0.15*'Travel Time - Value'!$B$20)+(C47*E47*(H47-I47)*0.2*'Travel Time - Value'!$B$20)+(C47*E47*(J47-K47)*0.65*'Travel Time - Value'!$B$20))*(1/3600)*365</f>
        <v>-131.98478475000002</v>
      </c>
      <c r="O47" s="300"/>
      <c r="P47" s="300"/>
      <c r="Q47" s="300"/>
      <c r="R47" s="300"/>
      <c r="S47" s="300"/>
      <c r="T47" s="300"/>
    </row>
    <row r="48" spans="1:20" x14ac:dyDescent="0.25">
      <c r="A48" s="68">
        <v>573</v>
      </c>
      <c r="B48" s="6" t="s">
        <v>26</v>
      </c>
      <c r="C48" s="6">
        <v>2056</v>
      </c>
      <c r="D48" s="69">
        <v>2E-3</v>
      </c>
      <c r="E48" s="70">
        <v>4.2000000000000003E-2</v>
      </c>
      <c r="F48" s="68">
        <v>22</v>
      </c>
      <c r="G48" s="71">
        <v>19.399999999999999</v>
      </c>
      <c r="H48" s="72">
        <v>125.4</v>
      </c>
      <c r="I48" s="73">
        <v>72.599999999999994</v>
      </c>
      <c r="J48" s="68">
        <v>82.5</v>
      </c>
      <c r="K48" s="71">
        <v>57</v>
      </c>
      <c r="L48" s="74">
        <f>((C48*(1-(D48+E48))*(F48-G48)*0.15*'Travel Time - Value'!$B$19)+(C48*(1-(D48+E48))*(H48-I48)*0.2*'Travel Time - Value'!$B$19)+(C48*(1-(D48+E48))*(J48-K48)*0.65*'Travel Time - Value'!$B$19))*(1/3600)*365</f>
        <v>7624.5373142333328</v>
      </c>
      <c r="M48" s="75">
        <f t="shared" si="0"/>
        <v>11.475478333333335</v>
      </c>
      <c r="N48" s="76">
        <f>((C48*E48*(F48-G48)*0.15*'Travel Time - Value'!$B$20)+(C48*E48*(H48-I48)*0.2*'Travel Time - Value'!$B$20)+(C48*E48*(J48-K48)*0.65*'Travel Time - Value'!$B$20))*(1/3600)*365</f>
        <v>240.98504500000001</v>
      </c>
      <c r="O48" s="300"/>
      <c r="P48" s="300"/>
      <c r="Q48" s="300"/>
      <c r="R48" s="300"/>
      <c r="S48" s="300"/>
      <c r="T48" s="300"/>
    </row>
    <row r="49" spans="1:20" x14ac:dyDescent="0.25">
      <c r="A49" s="68">
        <v>573</v>
      </c>
      <c r="B49" s="6" t="s">
        <v>27</v>
      </c>
      <c r="C49" s="6">
        <v>46996</v>
      </c>
      <c r="D49" s="69">
        <v>2E-3</v>
      </c>
      <c r="E49" s="70">
        <v>4.2000000000000003E-2</v>
      </c>
      <c r="F49" s="68">
        <v>13.8</v>
      </c>
      <c r="G49" s="71">
        <v>24</v>
      </c>
      <c r="H49" s="72">
        <v>11.7</v>
      </c>
      <c r="I49" s="73">
        <v>31.1</v>
      </c>
      <c r="J49" s="68">
        <v>8.8000000000000007</v>
      </c>
      <c r="K49" s="71">
        <v>8.6999999999999993</v>
      </c>
      <c r="L49" s="74">
        <f>((C49*(1-(D49+E49))*(F49-G49)*0.15*'Travel Time - Value'!$B$19)+(C49*(1-(D49+E49))*(H49-I49)*0.2*'Travel Time - Value'!$B$19)+(C49*(1-(D49+E49))*(J49-K49)*0.65*'Travel Time - Value'!$B$19))*(1/3600)*365</f>
        <v>-33843.218736192219</v>
      </c>
      <c r="M49" s="75">
        <f t="shared" si="0"/>
        <v>-50.93648405555556</v>
      </c>
      <c r="N49" s="76">
        <f>((C49*E49*(F49-G49)*0.15*'Travel Time - Value'!$B$20)+(C49*E49*(H49-I49)*0.2*'Travel Time - Value'!$B$20)+(C49*E49*(J49-K49)*0.65*'Travel Time - Value'!$B$20))*(1/3600)*365</f>
        <v>-1069.6661651666666</v>
      </c>
      <c r="O49" s="300"/>
      <c r="P49" s="300"/>
      <c r="Q49" s="300"/>
      <c r="R49" s="300"/>
      <c r="S49" s="300"/>
      <c r="T49" s="300"/>
    </row>
    <row r="50" spans="1:20" x14ac:dyDescent="0.25">
      <c r="A50" s="68">
        <v>574</v>
      </c>
      <c r="B50" s="6" t="s">
        <v>26</v>
      </c>
      <c r="C50" s="6">
        <v>43926</v>
      </c>
      <c r="D50" s="69">
        <v>2E-3</v>
      </c>
      <c r="E50" s="70">
        <v>6.3E-2</v>
      </c>
      <c r="F50" s="68">
        <v>11.4</v>
      </c>
      <c r="G50" s="71">
        <v>11.7</v>
      </c>
      <c r="H50" s="72">
        <v>81</v>
      </c>
      <c r="I50" s="73">
        <v>53.2</v>
      </c>
      <c r="J50" s="68">
        <v>103.5</v>
      </c>
      <c r="K50" s="71">
        <v>79.099999999999994</v>
      </c>
      <c r="L50" s="74">
        <f>((C50*(1-(D50+E50))*(F50-G50)*0.15*'Travel Time - Value'!$B$19)+(C50*(1-(D50+E50))*(H50-I50)*0.2*'Travel Time - Value'!$B$19)+(C50*(1-(D50+E50))*(J50-K50)*0.65*'Travel Time - Value'!$B$19))*(1/3600)*365</f>
        <v>123721.32300515627</v>
      </c>
      <c r="M50" s="75">
        <f t="shared" si="0"/>
        <v>190.39175625000004</v>
      </c>
      <c r="N50" s="76">
        <f>((C50*E50*(F50-G50)*0.15*'Travel Time - Value'!$B$20)+(C50*E50*(H50-I50)*0.2*'Travel Time - Value'!$B$20)+(C50*E50*(J50-K50)*0.65*'Travel Time - Value'!$B$20))*(1/3600)*365</f>
        <v>5997.3403218750009</v>
      </c>
      <c r="O50" s="300"/>
      <c r="P50" s="300"/>
      <c r="Q50" s="300"/>
      <c r="R50" s="300"/>
      <c r="S50" s="300"/>
      <c r="T50" s="300"/>
    </row>
    <row r="51" spans="1:20" x14ac:dyDescent="0.25">
      <c r="A51" s="68">
        <v>574</v>
      </c>
      <c r="B51" s="6" t="s">
        <v>27</v>
      </c>
      <c r="C51" s="6">
        <v>41082</v>
      </c>
      <c r="D51" s="69">
        <v>1E-3</v>
      </c>
      <c r="E51" s="70">
        <v>4.9500000000000002E-2</v>
      </c>
      <c r="F51" s="68">
        <v>73.5</v>
      </c>
      <c r="G51" s="71">
        <v>66.599999999999994</v>
      </c>
      <c r="H51" s="72">
        <v>69.8</v>
      </c>
      <c r="I51" s="73">
        <v>70.8</v>
      </c>
      <c r="J51" s="68">
        <v>70.599999999999994</v>
      </c>
      <c r="K51" s="71">
        <v>66.2</v>
      </c>
      <c r="L51" s="74">
        <f>((C51*(1-(D51+E51))*(F51-G51)*0.15*'Travel Time - Value'!$B$19)+(C51*(1-(D51+E51))*(H51-I51)*0.2*'Travel Time - Value'!$B$19)+(C51*(1-(D51+E51))*(J51-K51)*0.65*'Travel Time - Value'!$B$19))*(1/3600)*365</f>
        <v>20312.629822239353</v>
      </c>
      <c r="M51" s="75">
        <f t="shared" si="0"/>
        <v>15.390629541666646</v>
      </c>
      <c r="N51" s="76">
        <f>((C51*E51*(F51-G51)*0.15*'Travel Time - Value'!$B$20)+(C51*E51*(H51-I51)*0.2*'Travel Time - Value'!$B$20)+(C51*E51*(J51-K51)*0.65*'Travel Time - Value'!$B$20))*(1/3600)*365</f>
        <v>761.83616231249903</v>
      </c>
      <c r="O51" s="300"/>
      <c r="P51" s="300"/>
      <c r="Q51" s="300"/>
      <c r="R51" s="300"/>
      <c r="S51" s="300"/>
      <c r="T51" s="300"/>
    </row>
    <row r="52" spans="1:20" x14ac:dyDescent="0.25">
      <c r="A52" s="68">
        <v>590</v>
      </c>
      <c r="B52" s="6" t="s">
        <v>26</v>
      </c>
      <c r="C52" s="6">
        <v>39661</v>
      </c>
      <c r="D52" s="69">
        <v>8.0000000000000002E-3</v>
      </c>
      <c r="E52" s="70">
        <v>0.06</v>
      </c>
      <c r="F52" s="68">
        <v>24.4</v>
      </c>
      <c r="G52" s="71">
        <v>23.2</v>
      </c>
      <c r="H52" s="72">
        <v>24.3</v>
      </c>
      <c r="I52" s="73">
        <v>24</v>
      </c>
      <c r="J52" s="68">
        <v>24.4</v>
      </c>
      <c r="K52" s="71">
        <v>23.3</v>
      </c>
      <c r="L52" s="74">
        <f>((C52*(1-(D52+E52))*(F52-G52)*0.15*'Travel Time - Value'!$B$19)+(C52*(1-(D52+E52))*(H52-I52)*0.2*'Travel Time - Value'!$B$19)+(C52*(1-(D52+E52))*(J52-K52)*0.65*'Travel Time - Value'!$B$19))*(1/3600)*365</f>
        <v>4974.9429866669361</v>
      </c>
      <c r="M52" s="75">
        <f t="shared" si="0"/>
        <v>30.721851277777734</v>
      </c>
      <c r="N52" s="76">
        <f>((C52*E52*(F52-G52)*0.15*'Travel Time - Value'!$B$20)+(C52*E52*(H52-I52)*0.2*'Travel Time - Value'!$B$20)+(C52*E52*(J52-K52)*0.65*'Travel Time - Value'!$B$20))*(1/3600)*365</f>
        <v>230.41388458333302</v>
      </c>
      <c r="O52" s="300"/>
      <c r="P52" s="300"/>
      <c r="Q52" s="300"/>
      <c r="R52" s="300"/>
      <c r="S52" s="300"/>
      <c r="T52" s="300"/>
    </row>
    <row r="53" spans="1:20" x14ac:dyDescent="0.25">
      <c r="A53" s="68">
        <v>590</v>
      </c>
      <c r="B53" s="6" t="s">
        <v>27</v>
      </c>
      <c r="C53" s="6">
        <v>41136</v>
      </c>
      <c r="D53" s="69">
        <v>3.0000000000000001E-3</v>
      </c>
      <c r="E53" s="70">
        <v>5.0999999999999997E-2</v>
      </c>
      <c r="F53" s="68">
        <v>24.6</v>
      </c>
      <c r="G53" s="71">
        <v>24.1</v>
      </c>
      <c r="H53" s="72">
        <v>23.6</v>
      </c>
      <c r="I53" s="73">
        <v>23.5</v>
      </c>
      <c r="J53" s="68">
        <v>23.7</v>
      </c>
      <c r="K53" s="71">
        <v>23.8</v>
      </c>
      <c r="L53" s="74">
        <f>((C53*(1-(D53+E53))*(F53-G53)*0.15*'Travel Time - Value'!$B$19)+(C53*(1-(D53+E53))*(H53-I53)*0.2*'Travel Time - Value'!$B$19)+(C53*(1-(D53+E53))*(J53-K53)*0.65*'Travel Time - Value'!$B$19))*(1/3600)*365</f>
        <v>164.52792267999641</v>
      </c>
      <c r="M53" s="75">
        <f t="shared" si="0"/>
        <v>0.37536599999999187</v>
      </c>
      <c r="N53" s="76">
        <f>((C53*E53*(F53-G53)*0.15*'Travel Time - Value'!$B$20)+(C53*E53*(H53-I53)*0.2*'Travel Time - Value'!$B$20)+(C53*E53*(J53-K53)*0.65*'Travel Time - Value'!$B$20))*(1/3600)*365</f>
        <v>6.3812219999998634</v>
      </c>
      <c r="O53" s="300"/>
      <c r="P53" s="300"/>
      <c r="Q53" s="300"/>
      <c r="R53" s="300"/>
      <c r="S53" s="300"/>
      <c r="T53" s="300"/>
    </row>
    <row r="54" spans="1:20" x14ac:dyDescent="0.25">
      <c r="A54" s="68">
        <v>591</v>
      </c>
      <c r="B54" s="6" t="s">
        <v>26</v>
      </c>
      <c r="C54" s="6">
        <v>39661</v>
      </c>
      <c r="D54" s="69">
        <v>8.0000000000000002E-3</v>
      </c>
      <c r="E54" s="70">
        <v>0.06</v>
      </c>
      <c r="F54" s="68">
        <v>24.3</v>
      </c>
      <c r="G54" s="71">
        <v>24</v>
      </c>
      <c r="H54" s="72">
        <v>36</v>
      </c>
      <c r="I54" s="73">
        <v>28.3</v>
      </c>
      <c r="J54" s="68">
        <v>25.5</v>
      </c>
      <c r="K54" s="71">
        <v>24.5</v>
      </c>
      <c r="L54" s="74">
        <f>((C54*(1-(D54+E54))*(F54-G54)*0.15*'Travel Time - Value'!$B$19)+(C54*(1-(D54+E54))*(H54-I54)*0.2*'Travel Time - Value'!$B$19)+(C54*(1-(D54+E54))*(J54-K54)*0.65*'Travel Time - Value'!$B$19))*(1/3600)*365</f>
        <v>11642.929398115832</v>
      </c>
      <c r="M54" s="75">
        <f t="shared" si="0"/>
        <v>71.898782833333343</v>
      </c>
      <c r="N54" s="76">
        <f>((C54*E54*(F54-G54)*0.15*'Travel Time - Value'!$B$20)+(C54*E54*(H54-I54)*0.2*'Travel Time - Value'!$B$20)+(C54*E54*(J54-K54)*0.65*'Travel Time - Value'!$B$20))*(1/3600)*365</f>
        <v>539.24087124999994</v>
      </c>
      <c r="O54" s="300"/>
      <c r="P54" s="300"/>
      <c r="Q54" s="300"/>
      <c r="R54" s="300"/>
      <c r="S54" s="300"/>
      <c r="T54" s="300"/>
    </row>
    <row r="55" spans="1:20" x14ac:dyDescent="0.25">
      <c r="A55" s="68">
        <v>591</v>
      </c>
      <c r="B55" s="6" t="s">
        <v>27</v>
      </c>
      <c r="C55" s="6">
        <v>41136</v>
      </c>
      <c r="D55" s="69">
        <v>3.0000000000000001E-3</v>
      </c>
      <c r="E55" s="70">
        <v>5.0999999999999997E-2</v>
      </c>
      <c r="F55" s="68">
        <v>8.8000000000000007</v>
      </c>
      <c r="G55" s="71">
        <v>8.4</v>
      </c>
      <c r="H55" s="72">
        <v>8.4</v>
      </c>
      <c r="I55" s="73">
        <v>8</v>
      </c>
      <c r="J55" s="68">
        <v>8.8000000000000007</v>
      </c>
      <c r="K55" s="71">
        <v>8.1</v>
      </c>
      <c r="L55" s="74">
        <f>((C55*(1-(D55+E55))*(F55-G55)*0.15*'Travel Time - Value'!$B$19)+(C55*(1-(D55+E55))*(H55-I55)*0.2*'Travel Time - Value'!$B$19)+(C55*(1-(D55+E55))*(J55-K55)*0.65*'Travel Time - Value'!$B$19))*(1/3600)*365</f>
        <v>3263.1371331533373</v>
      </c>
      <c r="M55" s="75">
        <f t="shared" si="0"/>
        <v>7.4447590000000101</v>
      </c>
      <c r="N55" s="76">
        <f>((C55*E55*(F55-G55)*0.15*'Travel Time - Value'!$B$20)+(C55*E55*(H55-I55)*0.2*'Travel Time - Value'!$B$20)+(C55*E55*(J55-K55)*0.65*'Travel Time - Value'!$B$20))*(1/3600)*365</f>
        <v>126.56090300000014</v>
      </c>
      <c r="O55" s="300"/>
      <c r="P55" s="300"/>
      <c r="Q55" s="300"/>
      <c r="R55" s="300"/>
      <c r="S55" s="300"/>
      <c r="T55" s="300"/>
    </row>
    <row r="56" spans="1:20" x14ac:dyDescent="0.25">
      <c r="A56" s="68">
        <v>594</v>
      </c>
      <c r="B56" s="6" t="s">
        <v>26</v>
      </c>
      <c r="C56" s="6">
        <v>16451</v>
      </c>
      <c r="D56" s="69">
        <v>5.0000000000000001E-3</v>
      </c>
      <c r="E56" s="70">
        <v>3.5999999999999997E-2</v>
      </c>
      <c r="F56" s="68">
        <v>51.6</v>
      </c>
      <c r="G56" s="71">
        <v>48.7</v>
      </c>
      <c r="H56" s="72">
        <v>50.3</v>
      </c>
      <c r="I56" s="73">
        <v>46.1</v>
      </c>
      <c r="J56" s="68">
        <v>44.6</v>
      </c>
      <c r="K56" s="71">
        <v>42.9</v>
      </c>
      <c r="L56" s="74">
        <f>((C56*(1-(D56+E56))*(F56-G56)*0.15*'Travel Time - Value'!$B$19)+(C56*(1-(D56+E56))*(H56-I56)*0.2*'Travel Time - Value'!$B$19)+(C56*(1-(D56+E56))*(J56-K56)*0.65*'Travel Time - Value'!$B$19))*(1/3600)*365</f>
        <v>5291.6733838713908</v>
      </c>
      <c r="M56" s="75">
        <f t="shared" si="0"/>
        <v>19.848588472222229</v>
      </c>
      <c r="N56" s="76">
        <f>((C56*E56*(F56-G56)*0.15*'Travel Time - Value'!$B$20)+(C56*E56*(H56-I56)*0.2*'Travel Time - Value'!$B$20)+(C56*E56*(J56-K56)*0.65*'Travel Time - Value'!$B$20))*(1/3600)*365</f>
        <v>142.90983700000007</v>
      </c>
      <c r="O56" s="300"/>
      <c r="P56" s="300"/>
      <c r="Q56" s="300"/>
      <c r="R56" s="300"/>
      <c r="S56" s="300"/>
      <c r="T56" s="300"/>
    </row>
    <row r="57" spans="1:20" x14ac:dyDescent="0.25">
      <c r="A57" s="68">
        <v>594</v>
      </c>
      <c r="B57" s="6" t="s">
        <v>27</v>
      </c>
      <c r="C57" s="6">
        <v>20089</v>
      </c>
      <c r="D57" s="69">
        <v>7.0000000000000001E-3</v>
      </c>
      <c r="E57" s="70">
        <v>0.03</v>
      </c>
      <c r="F57" s="68">
        <v>74.5</v>
      </c>
      <c r="G57" s="71">
        <v>69</v>
      </c>
      <c r="H57" s="72">
        <v>290.7</v>
      </c>
      <c r="I57" s="73">
        <v>72.5</v>
      </c>
      <c r="J57" s="68">
        <v>70.900000000000006</v>
      </c>
      <c r="K57" s="71">
        <v>68.5</v>
      </c>
      <c r="L57" s="74">
        <f>((C57*(1-(D57+E57))*(F57-G57)*0.15*'Travel Time - Value'!$B$19)+(C57*(1-(D57+E57))*(H57-I57)*0.2*'Travel Time - Value'!$B$19)+(C57*(1-(D57+E57))*(J57-K57)*0.65*'Travel Time - Value'!$B$19))*(1/3600)*365</f>
        <v>125482.61684662811</v>
      </c>
      <c r="M57" s="75">
        <f t="shared" si="0"/>
        <v>656.20648746527786</v>
      </c>
      <c r="N57" s="76">
        <f>((C57*E57*(F57-G57)*0.15*'Travel Time - Value'!$B$20)+(C57*E57*(H57-I57)*0.2*'Travel Time - Value'!$B$20)+(C57*E57*(J57-K57)*0.65*'Travel Time - Value'!$B$20))*(1/3600)*365</f>
        <v>2812.3135177083336</v>
      </c>
      <c r="O57" s="300"/>
      <c r="P57" s="300"/>
      <c r="Q57" s="300"/>
      <c r="R57" s="300"/>
      <c r="S57" s="300"/>
      <c r="T57" s="300"/>
    </row>
    <row r="58" spans="1:20" x14ac:dyDescent="0.25">
      <c r="A58" s="68">
        <v>722</v>
      </c>
      <c r="B58" s="6" t="s">
        <v>26</v>
      </c>
      <c r="C58" s="6">
        <v>39059</v>
      </c>
      <c r="D58" s="69">
        <v>2E-3</v>
      </c>
      <c r="E58" s="70">
        <v>6.3E-2</v>
      </c>
      <c r="F58" s="68">
        <v>69.099999999999994</v>
      </c>
      <c r="G58" s="71">
        <v>56.1</v>
      </c>
      <c r="H58" s="72">
        <v>80.7</v>
      </c>
      <c r="I58" s="73">
        <v>63.5</v>
      </c>
      <c r="J58" s="68">
        <v>76.3</v>
      </c>
      <c r="K58" s="71">
        <v>65</v>
      </c>
      <c r="L58" s="74">
        <f>((C58*(1-(D58+E58))*(F58-G58)*0.15*'Travel Time - Value'!$B$19)+(C58*(1-(D58+E58))*(H58-I58)*0.2*'Travel Time - Value'!$B$19)+(C58*(1-(D58+E58))*(J58-K58)*0.65*'Travel Time - Value'!$B$19))*(1/3600)*365</f>
        <v>65544.588958853114</v>
      </c>
      <c r="M58" s="75">
        <f t="shared" si="0"/>
        <v>100.86498512499998</v>
      </c>
      <c r="N58" s="76">
        <f>((C58*E58*(F58-G58)*0.15*'Travel Time - Value'!$B$20)+(C58*E58*(H58-I58)*0.2*'Travel Time - Value'!$B$20)+(C58*E58*(J58-K58)*0.65*'Travel Time - Value'!$B$20))*(1/3600)*365</f>
        <v>3177.2470314374996</v>
      </c>
      <c r="O58" s="300"/>
      <c r="P58" s="300"/>
      <c r="Q58" s="300"/>
      <c r="R58" s="300"/>
      <c r="S58" s="300"/>
      <c r="T58" s="300"/>
    </row>
    <row r="59" spans="1:20" x14ac:dyDescent="0.25">
      <c r="A59" s="68">
        <v>722</v>
      </c>
      <c r="B59" s="6" t="s">
        <v>27</v>
      </c>
      <c r="C59" s="6">
        <v>43514</v>
      </c>
      <c r="D59" s="69">
        <v>1E-3</v>
      </c>
      <c r="E59" s="70">
        <v>4.9500000000000002E-2</v>
      </c>
      <c r="F59" s="68">
        <v>20.3</v>
      </c>
      <c r="G59" s="71">
        <v>17.399999999999999</v>
      </c>
      <c r="H59" s="72">
        <v>13.8</v>
      </c>
      <c r="I59" s="73">
        <v>13.9</v>
      </c>
      <c r="J59" s="68">
        <v>13.8</v>
      </c>
      <c r="K59" s="71">
        <v>14</v>
      </c>
      <c r="L59" s="74">
        <f>((C59*(1-(D59+E59))*(F59-G59)*0.15*'Travel Time - Value'!$B$19)+(C59*(1-(D59+E59))*(H59-I59)*0.2*'Travel Time - Value'!$B$19)+(C59*(1-(D59+E59))*(J59-K59)*0.65*'Travel Time - Value'!$B$19))*(1/3600)*365</f>
        <v>1659.4875572081296</v>
      </c>
      <c r="M59" s="75">
        <f t="shared" si="0"/>
        <v>1.2573732916666704</v>
      </c>
      <c r="N59" s="76">
        <f>((C59*E59*(F59-G59)*0.15*'Travel Time - Value'!$B$20)+(C59*E59*(H59-I59)*0.2*'Travel Time - Value'!$B$20)+(C59*E59*(J59-K59)*0.65*'Travel Time - Value'!$B$20))*(1/3600)*365</f>
        <v>62.2399779375002</v>
      </c>
      <c r="O59" s="300"/>
      <c r="P59" s="300"/>
      <c r="Q59" s="300"/>
      <c r="R59" s="300"/>
      <c r="S59" s="300"/>
      <c r="T59" s="300"/>
    </row>
    <row r="60" spans="1:20" x14ac:dyDescent="0.25">
      <c r="A60" s="68">
        <v>723</v>
      </c>
      <c r="B60" s="6" t="s">
        <v>26</v>
      </c>
      <c r="C60" s="6">
        <v>42416</v>
      </c>
      <c r="D60" s="69">
        <v>1E-3</v>
      </c>
      <c r="E60" s="70">
        <v>5.8000000000000003E-2</v>
      </c>
      <c r="F60" s="68">
        <v>14.6</v>
      </c>
      <c r="G60" s="71">
        <v>16.5</v>
      </c>
      <c r="H60" s="72">
        <v>22.9</v>
      </c>
      <c r="I60" s="73">
        <v>19.899999999999999</v>
      </c>
      <c r="J60" s="68">
        <v>14.2</v>
      </c>
      <c r="K60" s="71">
        <v>15.5</v>
      </c>
      <c r="L60" s="74">
        <f>((C60*(1-(D60+E60))*(F60-G60)*0.15*'Travel Time - Value'!$B$19)+(C60*(1-(D60+E60))*(H60-I60)*0.2*'Travel Time - Value'!$B$19)+(C60*(1-(D60+E60))*(J60-K60)*0.65*'Travel Time - Value'!$B$19))*(1/3600)*365</f>
        <v>-2981.2635299577819</v>
      </c>
      <c r="M60" s="75">
        <f t="shared" si="0"/>
        <v>-2.2792708888888908</v>
      </c>
      <c r="N60" s="76">
        <f>((C60*E60*(F60-G60)*0.15*'Travel Time - Value'!$B$20)+(C60*E60*(H60-I60)*0.2*'Travel Time - Value'!$B$20)+(C60*E60*(J60-K60)*0.65*'Travel Time - Value'!$B$20))*(1/3600)*365</f>
        <v>-132.19771155555571</v>
      </c>
      <c r="O60" s="300"/>
      <c r="P60" s="300"/>
      <c r="Q60" s="300"/>
      <c r="R60" s="300"/>
      <c r="S60" s="300"/>
      <c r="T60" s="300"/>
    </row>
    <row r="61" spans="1:20" x14ac:dyDescent="0.25">
      <c r="A61" s="68">
        <v>723</v>
      </c>
      <c r="B61" s="6" t="s">
        <v>27</v>
      </c>
      <c r="C61" s="6">
        <v>38607</v>
      </c>
      <c r="D61" s="69">
        <v>2E-3</v>
      </c>
      <c r="E61" s="70">
        <v>4.9000000000000002E-2</v>
      </c>
      <c r="F61" s="68">
        <v>174.5</v>
      </c>
      <c r="G61" s="71">
        <v>68.400000000000006</v>
      </c>
      <c r="H61" s="72">
        <v>65.599999999999994</v>
      </c>
      <c r="I61" s="73">
        <v>69</v>
      </c>
      <c r="J61" s="68">
        <v>68.599999999999994</v>
      </c>
      <c r="K61" s="71">
        <v>59.4</v>
      </c>
      <c r="L61" s="74">
        <f>((C61*(1-(D61+E61))*(F61-G61)*0.15*'Travel Time - Value'!$B$19)+(C61*(1-(D61+E61))*(H61-I61)*0.2*'Travel Time - Value'!$B$19)+(C61*(1-(D61+E61))*(J61-K61)*0.65*'Travel Time - Value'!$B$19))*(1/3600)*365</f>
        <v>109541.95009083352</v>
      </c>
      <c r="M61" s="75">
        <f t="shared" si="0"/>
        <v>166.08463295833329</v>
      </c>
      <c r="N61" s="76">
        <f>((C61*E61*(F61-G61)*0.15*'Travel Time - Value'!$B$20)+(C61*E61*(H61-I61)*0.2*'Travel Time - Value'!$B$20)+(C61*E61*(J61-K61)*0.65*'Travel Time - Value'!$B$20))*(1/3600)*365</f>
        <v>4069.073507479166</v>
      </c>
      <c r="O61" s="300"/>
      <c r="P61" s="300"/>
      <c r="Q61" s="300"/>
      <c r="R61" s="300"/>
      <c r="S61" s="300"/>
      <c r="T61" s="300"/>
    </row>
    <row r="62" spans="1:20" x14ac:dyDescent="0.25">
      <c r="A62" s="68">
        <v>724</v>
      </c>
      <c r="B62" s="6" t="s">
        <v>26</v>
      </c>
      <c r="C62" s="6">
        <v>35067</v>
      </c>
      <c r="D62" s="69">
        <v>1E-3</v>
      </c>
      <c r="E62" s="70">
        <v>5.8000000000000003E-2</v>
      </c>
      <c r="F62" s="68">
        <v>54.1</v>
      </c>
      <c r="G62" s="71">
        <v>50.6</v>
      </c>
      <c r="H62" s="72">
        <v>122.4</v>
      </c>
      <c r="I62" s="73">
        <v>60.5</v>
      </c>
      <c r="J62" s="68">
        <v>62.5</v>
      </c>
      <c r="K62" s="71">
        <v>55.7</v>
      </c>
      <c r="L62" s="74">
        <f>((C62*(1-(D62+E62))*(F62-G62)*0.15*'Travel Time - Value'!$B$19)+(C62*(1-(D62+E62))*(H62-I62)*0.2*'Travel Time - Value'!$B$19)+(C62*(1-(D62+E62))*(J62-K62)*0.65*'Travel Time - Value'!$B$19))*(1/3600)*365</f>
        <v>80568.753387478122</v>
      </c>
      <c r="M62" s="75">
        <f t="shared" si="0"/>
        <v>61.597377187499994</v>
      </c>
      <c r="N62" s="76">
        <f>((C62*E62*(F62-G62)*0.15*'Travel Time - Value'!$B$20)+(C62*E62*(H62-I62)*0.2*'Travel Time - Value'!$B$20)+(C62*E62*(J62-K62)*0.65*'Travel Time - Value'!$B$20))*(1/3600)*365</f>
        <v>3572.6478768750003</v>
      </c>
      <c r="O62" s="300"/>
      <c r="P62" s="300"/>
      <c r="Q62" s="300"/>
      <c r="R62" s="300"/>
      <c r="S62" s="300"/>
      <c r="T62" s="300"/>
    </row>
    <row r="63" spans="1:20" x14ac:dyDescent="0.25">
      <c r="A63" s="68">
        <v>724</v>
      </c>
      <c r="B63" s="6" t="s">
        <v>27</v>
      </c>
      <c r="C63" s="6">
        <v>39336</v>
      </c>
      <c r="D63" s="69">
        <v>2E-3</v>
      </c>
      <c r="E63" s="70">
        <v>4.9000000000000002E-2</v>
      </c>
      <c r="F63" s="68">
        <v>14.1</v>
      </c>
      <c r="G63" s="71">
        <v>15.2</v>
      </c>
      <c r="H63" s="72">
        <v>13.3</v>
      </c>
      <c r="I63" s="73">
        <v>13.4</v>
      </c>
      <c r="J63" s="68">
        <v>12.4</v>
      </c>
      <c r="K63" s="71">
        <v>12.9</v>
      </c>
      <c r="L63" s="74">
        <f>((C63*(1-(D63+E63))*(F63-G63)*0.15*'Travel Time - Value'!$B$19)+(C63*(1-(D63+E63))*(H63-I63)*0.2*'Travel Time - Value'!$B$19)+(C63*(1-(D63+E63))*(J63-K63)*0.65*'Travel Time - Value'!$B$19))*(1/3600)*365</f>
        <v>-2683.0684208899997</v>
      </c>
      <c r="M63" s="75">
        <f t="shared" si="0"/>
        <v>-4.0679979999999984</v>
      </c>
      <c r="N63" s="76">
        <f>((C63*E63*(F63-G63)*0.15*'Travel Time - Value'!$B$20)+(C63*E63*(H63-I63)*0.2*'Travel Time - Value'!$B$20)+(C63*E63*(J63-K63)*0.65*'Travel Time - Value'!$B$20))*(1/3600)*365</f>
        <v>-99.665950999999978</v>
      </c>
      <c r="O63" s="300"/>
      <c r="P63" s="300"/>
      <c r="Q63" s="300"/>
      <c r="R63" s="300"/>
      <c r="S63" s="300"/>
      <c r="T63" s="300"/>
    </row>
    <row r="64" spans="1:20" x14ac:dyDescent="0.25">
      <c r="A64" s="68">
        <v>725</v>
      </c>
      <c r="B64" s="6" t="s">
        <v>26</v>
      </c>
      <c r="C64" s="6">
        <v>36956</v>
      </c>
      <c r="D64" s="69">
        <v>1E-3</v>
      </c>
      <c r="E64" s="70">
        <v>6.2E-2</v>
      </c>
      <c r="F64" s="68">
        <v>13.6</v>
      </c>
      <c r="G64" s="71">
        <v>12.8</v>
      </c>
      <c r="H64" s="72">
        <v>38.6</v>
      </c>
      <c r="I64" s="73">
        <v>14.2</v>
      </c>
      <c r="J64" s="68">
        <v>13.9</v>
      </c>
      <c r="K64" s="71">
        <v>12.8</v>
      </c>
      <c r="L64" s="74">
        <f>((C64*(1-(D64+E64))*(F64-G64)*0.15*'Travel Time - Value'!$B$19)+(C64*(1-(D64+E64))*(H64-I64)*0.2*'Travel Time - Value'!$B$19)+(C64*(1-(D64+E64))*(J64-K64)*0.65*'Travel Time - Value'!$B$19))*(1/3600)*365</f>
        <v>27889.835197167511</v>
      </c>
      <c r="M64" s="75">
        <f t="shared" si="0"/>
        <v>21.413692250000004</v>
      </c>
      <c r="N64" s="76">
        <f>((C64*E64*(F64-G64)*0.15*'Travel Time - Value'!$B$20)+(C64*E64*(H64-I64)*0.2*'Travel Time - Value'!$B$20)+(C64*E64*(J64-K64)*0.65*'Travel Time - Value'!$B$20))*(1/3600)*365</f>
        <v>1327.6489194999999</v>
      </c>
      <c r="O64" s="300"/>
      <c r="P64" s="300"/>
      <c r="Q64" s="300"/>
      <c r="R64" s="300"/>
      <c r="S64" s="300"/>
      <c r="T64" s="300"/>
    </row>
    <row r="65" spans="1:20" x14ac:dyDescent="0.25">
      <c r="A65" s="68">
        <v>725</v>
      </c>
      <c r="B65" s="6" t="s">
        <v>27</v>
      </c>
      <c r="C65" s="6">
        <v>36706</v>
      </c>
      <c r="D65" s="69">
        <v>5.0000000000000001E-3</v>
      </c>
      <c r="E65" s="70">
        <v>4.5999999999999999E-2</v>
      </c>
      <c r="F65" s="68">
        <v>71.7</v>
      </c>
      <c r="G65" s="71">
        <v>58.9</v>
      </c>
      <c r="H65" s="72">
        <v>65.3</v>
      </c>
      <c r="I65" s="73">
        <v>62.7</v>
      </c>
      <c r="J65" s="68">
        <v>63.4</v>
      </c>
      <c r="K65" s="71">
        <v>55.3</v>
      </c>
      <c r="L65" s="74">
        <f>((C65*(1-(D65+E65))*(F65-G65)*0.15*'Travel Time - Value'!$B$19)+(C65*(1-(D65+E65))*(H65-I65)*0.2*'Travel Time - Value'!$B$19)+(C65*(1-(D65+E65))*(J65-K65)*0.65*'Travel Time - Value'!$B$19))*(1/3600)*365</f>
        <v>37825.186645752634</v>
      </c>
      <c r="M65" s="75">
        <f t="shared" si="0"/>
        <v>143.37389090277779</v>
      </c>
      <c r="N65" s="76">
        <f>((C65*E65*(F65-G65)*0.15*'Travel Time - Value'!$B$20)+(C65*E65*(H65-I65)*0.2*'Travel Time - Value'!$B$20)+(C65*E65*(J65-K65)*0.65*'Travel Time - Value'!$B$20))*(1/3600)*365</f>
        <v>1319.0397963055557</v>
      </c>
      <c r="O65" s="300"/>
      <c r="P65" s="300"/>
      <c r="Q65" s="300"/>
      <c r="R65" s="300"/>
      <c r="S65" s="300"/>
      <c r="T65" s="300"/>
    </row>
    <row r="66" spans="1:20" x14ac:dyDescent="0.25">
      <c r="A66" s="68">
        <v>726</v>
      </c>
      <c r="B66" s="6" t="s">
        <v>26</v>
      </c>
      <c r="C66" s="6">
        <v>33868</v>
      </c>
      <c r="D66" s="69">
        <v>1E-3</v>
      </c>
      <c r="E66" s="70">
        <v>6.2E-2</v>
      </c>
      <c r="F66" s="68">
        <v>54.8</v>
      </c>
      <c r="G66" s="71">
        <v>53.2</v>
      </c>
      <c r="H66" s="72">
        <v>348.4</v>
      </c>
      <c r="I66" s="73">
        <v>272.89999999999998</v>
      </c>
      <c r="J66" s="68">
        <v>61.2</v>
      </c>
      <c r="K66" s="71">
        <v>59.3</v>
      </c>
      <c r="L66" s="74">
        <f>((C66*(1-(D66+E66))*(F66-G66)*0.15*'Travel Time - Value'!$B$19)+(C66*(1-(D66+E66))*(H66-I66)*0.2*'Travel Time - Value'!$B$19)+(C66*(1-(D66+E66))*(J66-K66)*0.65*'Travel Time - Value'!$B$19))*(1/3600)*365</f>
        <v>74128.949045720845</v>
      </c>
      <c r="M66" s="75">
        <f t="shared" si="0"/>
        <v>56.915879583333343</v>
      </c>
      <c r="N66" s="76">
        <f>((C66*E66*(F66-G66)*0.15*'Travel Time - Value'!$B$20)+(C66*E66*(H66-I66)*0.2*'Travel Time - Value'!$B$20)+(C66*E66*(J66-K66)*0.65*'Travel Time - Value'!$B$20))*(1/3600)*365</f>
        <v>3528.7845341666671</v>
      </c>
      <c r="O66" s="300"/>
      <c r="P66" s="300"/>
      <c r="Q66" s="300"/>
      <c r="R66" s="300"/>
      <c r="S66" s="300"/>
      <c r="T66" s="300"/>
    </row>
    <row r="67" spans="1:20" x14ac:dyDescent="0.25">
      <c r="A67" s="68">
        <v>726</v>
      </c>
      <c r="B67" s="6" t="s">
        <v>27</v>
      </c>
      <c r="C67" s="6">
        <v>38158</v>
      </c>
      <c r="D67" s="69">
        <v>5.0000000000000001E-3</v>
      </c>
      <c r="E67" s="70">
        <v>4.5999999999999999E-2</v>
      </c>
      <c r="F67" s="68">
        <v>15.4</v>
      </c>
      <c r="G67" s="71">
        <v>12.7</v>
      </c>
      <c r="H67" s="72">
        <v>19</v>
      </c>
      <c r="I67" s="73">
        <v>14.2</v>
      </c>
      <c r="J67" s="68">
        <v>12.9</v>
      </c>
      <c r="K67" s="71">
        <v>12.3</v>
      </c>
      <c r="L67" s="74">
        <f>((C67*(1-(D67+E67))*(F67-G67)*0.15*'Travel Time - Value'!$B$19)+(C67*(1-(D67+E67))*(H67-I67)*0.2*'Travel Time - Value'!$B$19)+(C67*(1-(D67+E67))*(J67-K67)*0.65*'Travel Time - Value'!$B$19))*(1/3600)*365</f>
        <v>8956.412777178748</v>
      </c>
      <c r="M67" s="75">
        <f t="shared" si="0"/>
        <v>33.948695624999999</v>
      </c>
      <c r="N67" s="76">
        <f>((C67*E67*(F67-G67)*0.15*'Travel Time - Value'!$B$20)+(C67*E67*(H67-I67)*0.2*'Travel Time - Value'!$B$20)+(C67*E67*(J67-K67)*0.65*'Travel Time - Value'!$B$20))*(1/3600)*365</f>
        <v>312.32799975000006</v>
      </c>
      <c r="O67" s="300"/>
      <c r="P67" s="300"/>
      <c r="Q67" s="300"/>
      <c r="R67" s="300"/>
      <c r="S67" s="300"/>
      <c r="T67" s="300"/>
    </row>
    <row r="68" spans="1:20" x14ac:dyDescent="0.25">
      <c r="A68" s="68">
        <v>741</v>
      </c>
      <c r="B68" s="6" t="s">
        <v>26</v>
      </c>
      <c r="C68" s="6">
        <v>37776</v>
      </c>
      <c r="D68" s="69">
        <v>6.0000000000000001E-3</v>
      </c>
      <c r="E68" s="70">
        <v>4.3999999999999997E-2</v>
      </c>
      <c r="F68" s="68">
        <v>17.899999999999999</v>
      </c>
      <c r="G68" s="71">
        <v>16.2</v>
      </c>
      <c r="H68" s="72">
        <v>279.3</v>
      </c>
      <c r="I68" s="73">
        <v>262.10000000000002</v>
      </c>
      <c r="J68" s="68">
        <v>15.7</v>
      </c>
      <c r="K68" s="71">
        <v>15.3</v>
      </c>
      <c r="L68" s="74">
        <f>((C68*(1-(D68+E68))*(F68-G68)*0.15*'Travel Time - Value'!$B$19)+(C68*(1-(D68+E68))*(H68-I68)*0.2*'Travel Time - Value'!$B$19)+(C68*(1-(D68+E68))*(J68-K68)*0.65*'Travel Time - Value'!$B$19))*(1/3600)*365</f>
        <v>20002.819996833317</v>
      </c>
      <c r="M68" s="75">
        <f t="shared" si="0"/>
        <v>90.887481999999935</v>
      </c>
      <c r="N68" s="76">
        <f>((C68*E68*(F68-G68)*0.15*'Travel Time - Value'!$B$20)+(C68*E68*(H68-I68)*0.2*'Travel Time - Value'!$B$20)+(C68*E68*(J68-K68)*0.65*'Travel Time - Value'!$B$20))*(1/3600)*365</f>
        <v>666.50820133333264</v>
      </c>
      <c r="O68" s="300"/>
      <c r="P68" s="300"/>
      <c r="Q68" s="300"/>
      <c r="R68" s="300"/>
      <c r="S68" s="300"/>
      <c r="T68" s="300"/>
    </row>
    <row r="69" spans="1:20" x14ac:dyDescent="0.25">
      <c r="A69" s="68">
        <v>741</v>
      </c>
      <c r="B69" s="6" t="s">
        <v>27</v>
      </c>
      <c r="C69" s="6">
        <v>35033</v>
      </c>
      <c r="D69" s="69">
        <v>6.0000000000000001E-3</v>
      </c>
      <c r="E69" s="70">
        <v>3.2000000000000001E-2</v>
      </c>
      <c r="F69" s="68">
        <v>28.4</v>
      </c>
      <c r="G69" s="71">
        <v>22.7</v>
      </c>
      <c r="H69" s="72">
        <v>647.79999999999995</v>
      </c>
      <c r="I69" s="73">
        <v>481.2</v>
      </c>
      <c r="J69" s="68">
        <v>26.4</v>
      </c>
      <c r="K69" s="71">
        <v>22</v>
      </c>
      <c r="L69" s="74">
        <f>((C69*(1-(D69+E69))*(F69-G69)*0.15*'Travel Time - Value'!$B$19)+(C69*(1-(D69+E69))*(H69-I69)*0.2*'Travel Time - Value'!$B$19)+(C69*(1-(D69+E69))*(J69-K69)*0.65*'Travel Time - Value'!$B$19))*(1/3600)*365</f>
        <v>175901.65032051617</v>
      </c>
      <c r="M69" s="75">
        <f t="shared" ref="M69:M89" si="1">((C69*D69*(F69-G69)*0.15)+(C69*D69*(H69-I69)*0.2)+(C69*D69*(J69-K69)*0.65))*(1/3600)*365</f>
        <v>789.28035262499975</v>
      </c>
      <c r="N69" s="76">
        <f>((C69*E69*(F69-G69)*0.15*'Travel Time - Value'!$B$20)+(C69*E69*(H69-I69)*0.2*'Travel Time - Value'!$B$20)+(C69*E69*(J69-K69)*0.65*'Travel Time - Value'!$B$20))*(1/3600)*365</f>
        <v>4209.4952139999996</v>
      </c>
      <c r="O69" s="300"/>
      <c r="P69" s="300"/>
      <c r="Q69" s="300"/>
      <c r="R69" s="300"/>
      <c r="S69" s="300"/>
      <c r="T69" s="300"/>
    </row>
    <row r="70" spans="1:20" x14ac:dyDescent="0.25">
      <c r="A70" s="68">
        <v>782</v>
      </c>
      <c r="B70" s="6" t="s">
        <v>26</v>
      </c>
      <c r="C70" s="6">
        <v>42273</v>
      </c>
      <c r="D70" s="69">
        <v>3.0000000000000001E-3</v>
      </c>
      <c r="E70" s="70">
        <v>4.8000000000000001E-2</v>
      </c>
      <c r="F70" s="68">
        <v>39</v>
      </c>
      <c r="G70" s="71">
        <v>34.6</v>
      </c>
      <c r="H70" s="72">
        <v>47.1</v>
      </c>
      <c r="I70" s="73">
        <v>37.4</v>
      </c>
      <c r="J70" s="68">
        <v>41.2</v>
      </c>
      <c r="K70" s="71">
        <v>35.799999999999997</v>
      </c>
      <c r="L70" s="74">
        <f>((C70*(1-(D70+E70))*(F70-G70)*0.15*'Travel Time - Value'!$B$19)+(C70*(1-(D70+E70))*(H70-I70)*0.2*'Travel Time - Value'!$B$19)+(C70*(1-(D70+E70))*(J70-K70)*0.65*'Travel Time - Value'!$B$19))*(1/3600)*365</f>
        <v>34544.241107626265</v>
      </c>
      <c r="M70" s="75">
        <f t="shared" si="1"/>
        <v>78.562609125000051</v>
      </c>
      <c r="N70" s="76">
        <f>((C70*E70*(F70-G70)*0.15*'Travel Time - Value'!$B$20)+(C70*E70*(H70-I70)*0.2*'Travel Time - Value'!$B$20)+(C70*E70*(J70-K70)*0.65*'Travel Time - Value'!$B$20))*(1/3600)*365</f>
        <v>1257.0017460000008</v>
      </c>
      <c r="O70" s="300"/>
      <c r="P70" s="300"/>
      <c r="Q70" s="300"/>
      <c r="R70" s="300"/>
      <c r="S70" s="300"/>
      <c r="T70" s="300"/>
    </row>
    <row r="71" spans="1:20" x14ac:dyDescent="0.25">
      <c r="A71" s="68">
        <v>782</v>
      </c>
      <c r="B71" s="6" t="s">
        <v>27</v>
      </c>
      <c r="C71" s="6">
        <v>43958</v>
      </c>
      <c r="D71" s="69">
        <v>2E-3</v>
      </c>
      <c r="E71" s="70">
        <v>4.8000000000000001E-2</v>
      </c>
      <c r="F71" s="68">
        <v>12.4</v>
      </c>
      <c r="G71" s="71">
        <v>14.3</v>
      </c>
      <c r="H71" s="72">
        <v>11.8</v>
      </c>
      <c r="I71" s="73">
        <v>14.7</v>
      </c>
      <c r="J71" s="68">
        <v>11.3</v>
      </c>
      <c r="K71" s="71">
        <v>11.7</v>
      </c>
      <c r="L71" s="74">
        <f>((C71*(1-(D71+E71))*(F71-G71)*0.15*'Travel Time - Value'!$B$19)+(C71*(1-(D71+E71))*(H71-I71)*0.2*'Travel Time - Value'!$B$19)+(C71*(1-(D71+E71))*(J71-K71)*0.65*'Travel Time - Value'!$B$19))*(1/3600)*365</f>
        <v>-6620.9333546874932</v>
      </c>
      <c r="M71" s="75">
        <f t="shared" si="1"/>
        <v>-10.027918749999991</v>
      </c>
      <c r="N71" s="76">
        <f>((C71*E71*(F71-G71)*0.15*'Travel Time - Value'!$B$20)+(C71*E71*(H71-I71)*0.2*'Travel Time - Value'!$B$20)+(C71*E71*(J71-K71)*0.65*'Travel Time - Value'!$B$20))*(1/3600)*365</f>
        <v>-240.67004999999975</v>
      </c>
      <c r="O71" s="300"/>
      <c r="P71" s="300"/>
      <c r="Q71" s="300"/>
      <c r="R71" s="300"/>
      <c r="S71" s="300"/>
      <c r="T71" s="300"/>
    </row>
    <row r="72" spans="1:20" x14ac:dyDescent="0.25">
      <c r="A72" s="68">
        <v>783</v>
      </c>
      <c r="B72" s="6" t="s">
        <v>26</v>
      </c>
      <c r="C72" s="6">
        <v>48682</v>
      </c>
      <c r="D72" s="69">
        <v>4.0000000000000001E-3</v>
      </c>
      <c r="E72" s="70">
        <v>5.7000000000000002E-2</v>
      </c>
      <c r="F72" s="68">
        <v>12.8</v>
      </c>
      <c r="G72" s="71">
        <v>13.2</v>
      </c>
      <c r="H72" s="72">
        <v>14.7</v>
      </c>
      <c r="I72" s="73">
        <v>16.7</v>
      </c>
      <c r="J72" s="68">
        <v>12.5</v>
      </c>
      <c r="K72" s="71">
        <v>12.6</v>
      </c>
      <c r="L72" s="74">
        <f>((C72*(1-(D72+E72))*(F72-G72)*0.15*'Travel Time - Value'!$B$19)+(C72*(1-(D72+E72))*(H72-I72)*0.2*'Travel Time - Value'!$B$19)+(C72*(1-(D72+E72))*(J72-K72)*0.65*'Travel Time - Value'!$B$19))*(1/3600)*365</f>
        <v>-3382.1936641062462</v>
      </c>
      <c r="M72" s="75">
        <f t="shared" si="1"/>
        <v>-10.365209166666657</v>
      </c>
      <c r="N72" s="76">
        <f>((C72*E72*(F72-G72)*0.15*'Travel Time - Value'!$B$20)+(C72*E72*(H72-I72)*0.2*'Travel Time - Value'!$B$20)+(C72*E72*(J72-K72)*0.65*'Travel Time - Value'!$B$20))*(1/3600)*365</f>
        <v>-147.70423062499987</v>
      </c>
      <c r="O72" s="300"/>
      <c r="P72" s="300"/>
      <c r="Q72" s="300"/>
      <c r="R72" s="300"/>
      <c r="S72" s="300"/>
      <c r="T72" s="300"/>
    </row>
    <row r="73" spans="1:20" x14ac:dyDescent="0.25">
      <c r="A73" s="68">
        <v>783</v>
      </c>
      <c r="B73" s="6" t="s">
        <v>27</v>
      </c>
      <c r="C73" s="6">
        <v>41835</v>
      </c>
      <c r="D73" s="69">
        <v>3.0000000000000001E-3</v>
      </c>
      <c r="E73" s="70">
        <v>0.05</v>
      </c>
      <c r="F73" s="68">
        <v>35.4</v>
      </c>
      <c r="G73" s="71">
        <v>30.5</v>
      </c>
      <c r="H73" s="72">
        <v>52.5</v>
      </c>
      <c r="I73" s="73">
        <v>42.6</v>
      </c>
      <c r="J73" s="68">
        <v>30.4</v>
      </c>
      <c r="K73" s="71">
        <v>30.4</v>
      </c>
      <c r="L73" s="74">
        <f>((C73*(1-(D73+E73))*(F73-G73)*0.15*'Travel Time - Value'!$B$19)+(C73*(1-(D73+E73))*(H73-I73)*0.2*'Travel Time - Value'!$B$19)+(C73*(1-(D73+E73))*(J73-K73)*0.65*'Travel Time - Value'!$B$19))*(1/3600)*365</f>
        <v>15158.797456503122</v>
      </c>
      <c r="M73" s="75">
        <f t="shared" si="1"/>
        <v>34.547865937499992</v>
      </c>
      <c r="N73" s="76">
        <f>((C73*E73*(F73-G73)*0.15*'Travel Time - Value'!$B$20)+(C73*E73*(H73-I73)*0.2*'Travel Time - Value'!$B$20)+(C73*E73*(J73-K73)*0.65*'Travel Time - Value'!$B$20))*(1/3600)*365</f>
        <v>575.79776562500001</v>
      </c>
      <c r="O73" s="300"/>
      <c r="P73" s="300"/>
      <c r="Q73" s="300"/>
      <c r="R73" s="300"/>
      <c r="S73" s="300"/>
      <c r="T73" s="300"/>
    </row>
    <row r="74" spans="1:20" x14ac:dyDescent="0.25">
      <c r="A74" s="68">
        <v>786</v>
      </c>
      <c r="B74" s="6" t="s">
        <v>26</v>
      </c>
      <c r="C74" s="6">
        <v>17037</v>
      </c>
      <c r="D74" s="69">
        <v>2E-3</v>
      </c>
      <c r="E74" s="70">
        <v>1.7000000000000001E-2</v>
      </c>
      <c r="F74" s="68">
        <v>14.2</v>
      </c>
      <c r="G74" s="71">
        <v>6.2</v>
      </c>
      <c r="H74" s="72">
        <v>39.9</v>
      </c>
      <c r="I74" s="73">
        <v>10.4</v>
      </c>
      <c r="J74" s="68">
        <v>17.899999999999999</v>
      </c>
      <c r="K74" s="71">
        <v>6.4</v>
      </c>
      <c r="L74" s="74">
        <f>((C74*(1-(D74+E74))*(F74-G74)*0.15*'Travel Time - Value'!$B$19)+(C74*(1-(D74+E74))*(H74-I74)*0.2*'Travel Time - Value'!$B$19)+(C74*(1-(D74+E74))*(J74-K74)*0.65*'Travel Time - Value'!$B$19))*(1/3600)*365</f>
        <v>34330.162422290618</v>
      </c>
      <c r="M74" s="75">
        <f t="shared" si="1"/>
        <v>50.352616875000002</v>
      </c>
      <c r="N74" s="76">
        <f>((C74*E74*(F74-G74)*0.15*'Travel Time - Value'!$B$20)+(C74*E74*(H74-I74)*0.2*'Travel Time - Value'!$B$20)+(C74*E74*(J74-K74)*0.65*'Travel Time - Value'!$B$20))*(1/3600)*365</f>
        <v>427.9972434375</v>
      </c>
      <c r="O74" s="300"/>
      <c r="P74" s="300"/>
      <c r="Q74" s="300"/>
      <c r="R74" s="300"/>
      <c r="S74" s="300"/>
      <c r="T74" s="300"/>
    </row>
    <row r="75" spans="1:20" x14ac:dyDescent="0.25">
      <c r="A75" s="68">
        <v>786</v>
      </c>
      <c r="B75" s="6" t="s">
        <v>27</v>
      </c>
      <c r="C75" s="6">
        <v>14202</v>
      </c>
      <c r="D75" s="69">
        <v>2E-3</v>
      </c>
      <c r="E75" s="70">
        <v>2.3E-2</v>
      </c>
      <c r="F75" s="68">
        <v>9.8000000000000007</v>
      </c>
      <c r="G75" s="71">
        <v>10.3</v>
      </c>
      <c r="H75" s="72">
        <v>9.1999999999999993</v>
      </c>
      <c r="I75" s="73">
        <v>9.1999999999999993</v>
      </c>
      <c r="J75" s="68">
        <v>9</v>
      </c>
      <c r="K75" s="71">
        <v>9.1999999999999993</v>
      </c>
      <c r="L75" s="74">
        <f>((C75*(1-(D75+E75))*(F75-G75)*0.15*'Travel Time - Value'!$B$19)+(C75*(1-(D75+E75))*(H75-I75)*0.2*'Travel Time - Value'!$B$19)+(C75*(1-(D75+E75))*(J75-K75)*0.65*'Travel Time - Value'!$B$19))*(1/3600)*365</f>
        <v>-400.04896303124912</v>
      </c>
      <c r="M75" s="75">
        <f t="shared" si="1"/>
        <v>-0.59036924999999874</v>
      </c>
      <c r="N75" s="76">
        <f>((C75*E75*(F75-G75)*0.15*'Travel Time - Value'!$B$20)+(C75*E75*(H75-I75)*0.2*'Travel Time - Value'!$B$20)+(C75*E75*(J75-K75)*0.65*'Travel Time - Value'!$B$20))*(1/3600)*365</f>
        <v>-6.7892463749999852</v>
      </c>
      <c r="O75" s="300"/>
      <c r="P75" s="300"/>
      <c r="Q75" s="300"/>
      <c r="R75" s="300"/>
      <c r="S75" s="300"/>
      <c r="T75" s="300"/>
    </row>
    <row r="76" spans="1:20" x14ac:dyDescent="0.25">
      <c r="A76" s="68">
        <v>832</v>
      </c>
      <c r="B76" s="6" t="s">
        <v>26</v>
      </c>
      <c r="C76" s="6">
        <v>16451</v>
      </c>
      <c r="D76" s="69">
        <v>2E-3</v>
      </c>
      <c r="E76" s="70">
        <v>1.7000000000000001E-2</v>
      </c>
      <c r="F76" s="68">
        <v>67.3</v>
      </c>
      <c r="G76" s="71">
        <v>64.2</v>
      </c>
      <c r="H76" s="72">
        <v>81.599999999999994</v>
      </c>
      <c r="I76" s="73">
        <v>68.5</v>
      </c>
      <c r="J76" s="68">
        <v>64.8</v>
      </c>
      <c r="K76" s="71">
        <v>63.6</v>
      </c>
      <c r="L76" s="74">
        <f>((C76*(1-(D76+E76))*(F76-G76)*0.15*'Travel Time - Value'!$B$19)+(C76*(1-(D76+E76))*(H76-I76)*0.2*'Travel Time - Value'!$B$19)+(C76*(1-(D76+E76))*(J76-K76)*0.65*'Travel Time - Value'!$B$19))*(1/3600)*365</f>
        <v>8790.5484502056152</v>
      </c>
      <c r="M76" s="75">
        <f t="shared" si="1"/>
        <v>12.893242763888875</v>
      </c>
      <c r="N76" s="76">
        <f>((C76*E76*(F76-G76)*0.15*'Travel Time - Value'!$B$20)+(C76*E76*(H76-I76)*0.2*'Travel Time - Value'!$B$20)+(C76*E76*(J76-K76)*0.65*'Travel Time - Value'!$B$20))*(1/3600)*365</f>
        <v>109.59256349305544</v>
      </c>
      <c r="O76" s="300"/>
      <c r="P76" s="300"/>
      <c r="Q76" s="300"/>
      <c r="R76" s="300"/>
      <c r="S76" s="300"/>
      <c r="T76" s="300"/>
    </row>
    <row r="77" spans="1:20" x14ac:dyDescent="0.25">
      <c r="A77" s="68">
        <v>832</v>
      </c>
      <c r="B77" s="6" t="s">
        <v>27</v>
      </c>
      <c r="C77" s="6">
        <v>15451</v>
      </c>
      <c r="D77" s="69">
        <v>5.0000000000000001E-3</v>
      </c>
      <c r="E77" s="70">
        <v>3.3000000000000002E-2</v>
      </c>
      <c r="F77" s="68">
        <v>10.3</v>
      </c>
      <c r="G77" s="71">
        <v>6.1</v>
      </c>
      <c r="H77" s="72">
        <v>13.5</v>
      </c>
      <c r="I77" s="73">
        <v>10.7</v>
      </c>
      <c r="J77" s="68">
        <v>12.3</v>
      </c>
      <c r="K77" s="71">
        <v>8.3000000000000007</v>
      </c>
      <c r="L77" s="74">
        <f>((C77*(1-(D77+E77))*(F77-G77)*0.15*'Travel Time - Value'!$B$19)+(C77*(1-(D77+E77))*(H77-I77)*0.2*'Travel Time - Value'!$B$19)+(C77*(1-(D77+E77))*(J77-K77)*0.65*'Travel Time - Value'!$B$19))*(1/3600)*365</f>
        <v>7939.1871282786124</v>
      </c>
      <c r="M77" s="75">
        <f t="shared" si="1"/>
        <v>29.686306736111117</v>
      </c>
      <c r="N77" s="76">
        <f>((C77*E77*(F77-G77)*0.15*'Travel Time - Value'!$B$20)+(C77*E77*(H77-I77)*0.2*'Travel Time - Value'!$B$20)+(C77*E77*(J77-K77)*0.65*'Travel Time - Value'!$B$20))*(1/3600)*365</f>
        <v>195.92962445833336</v>
      </c>
      <c r="O77" s="300"/>
      <c r="P77" s="300"/>
      <c r="Q77" s="300"/>
      <c r="R77" s="300"/>
      <c r="S77" s="300"/>
      <c r="T77" s="300"/>
    </row>
    <row r="78" spans="1:20" x14ac:dyDescent="0.25">
      <c r="A78" s="68">
        <v>922</v>
      </c>
      <c r="B78" s="6" t="s">
        <v>26</v>
      </c>
      <c r="C78" s="6">
        <v>44086</v>
      </c>
      <c r="D78" s="69">
        <v>3.0000000000000001E-3</v>
      </c>
      <c r="E78" s="70">
        <v>4.8000000000000001E-2</v>
      </c>
      <c r="F78" s="68">
        <v>20.6</v>
      </c>
      <c r="G78" s="71">
        <v>20.2</v>
      </c>
      <c r="H78" s="72">
        <v>30.2</v>
      </c>
      <c r="I78" s="73">
        <v>30.3</v>
      </c>
      <c r="J78" s="68">
        <v>22.5</v>
      </c>
      <c r="K78" s="71">
        <v>22.1</v>
      </c>
      <c r="L78" s="74">
        <f>((C78*(1-(D78+E78))*(F78-G78)*0.15*'Travel Time - Value'!$B$19)+(C78*(1-(D78+E78))*(H78-I78)*0.2*'Travel Time - Value'!$B$19)+(C78*(1-(D78+E78))*(J78-K78)*0.65*'Travel Time - Value'!$B$19))*(1/3600)*365</f>
        <v>1768.8594552416607</v>
      </c>
      <c r="M78" s="75">
        <f t="shared" si="1"/>
        <v>4.0228474999999877</v>
      </c>
      <c r="N78" s="76">
        <f>((C78*E78*(F78-G78)*0.15*'Travel Time - Value'!$B$20)+(C78*E78*(H78-I78)*0.2*'Travel Time - Value'!$B$20)+(C78*E78*(J78-K78)*0.65*'Travel Time - Value'!$B$20))*(1/3600)*365</f>
        <v>64.365559999999803</v>
      </c>
      <c r="O78" s="300"/>
      <c r="P78" s="300"/>
      <c r="Q78" s="300"/>
      <c r="R78" s="300"/>
      <c r="S78" s="300"/>
      <c r="T78" s="300"/>
    </row>
    <row r="79" spans="1:20" x14ac:dyDescent="0.25">
      <c r="A79" s="68">
        <v>922</v>
      </c>
      <c r="B79" s="6" t="s">
        <v>27</v>
      </c>
      <c r="C79" s="6">
        <v>42484</v>
      </c>
      <c r="D79" s="69">
        <v>2E-3</v>
      </c>
      <c r="E79" s="70">
        <v>4.8000000000000001E-2</v>
      </c>
      <c r="F79" s="68">
        <v>8.6</v>
      </c>
      <c r="G79" s="71">
        <v>8.3000000000000007</v>
      </c>
      <c r="H79" s="72">
        <v>12</v>
      </c>
      <c r="I79" s="73">
        <v>11.3</v>
      </c>
      <c r="J79" s="68">
        <v>9.5</v>
      </c>
      <c r="K79" s="71">
        <v>9.8000000000000007</v>
      </c>
      <c r="L79" s="74">
        <f>((C79*(1-(D79+E79))*(F79-G79)*0.15*'Travel Time - Value'!$B$19)+(C79*(1-(D79+E79))*(H79-I79)*0.2*'Travel Time - Value'!$B$19)+(C79*(1-(D79+E79))*(J79-K79)*0.65*'Travel Time - Value'!$B$19))*(1/3600)*365</f>
        <v>-56.879290361115366</v>
      </c>
      <c r="M79" s="75">
        <f t="shared" si="1"/>
        <v>-8.6148111111117531E-2</v>
      </c>
      <c r="N79" s="76">
        <f>((C79*E79*(F79-G79)*0.15*'Travel Time - Value'!$B$20)+(C79*E79*(H79-I79)*0.2*'Travel Time - Value'!$B$20)+(C79*E79*(J79-K79)*0.65*'Travel Time - Value'!$B$20))*(1/3600)*365</f>
        <v>-2.0675546666668261</v>
      </c>
      <c r="O79" s="300"/>
      <c r="P79" s="300"/>
      <c r="Q79" s="300"/>
      <c r="R79" s="300"/>
      <c r="S79" s="300"/>
      <c r="T79" s="300"/>
    </row>
    <row r="80" spans="1:20" x14ac:dyDescent="0.25">
      <c r="A80" s="68">
        <v>923</v>
      </c>
      <c r="B80" s="6" t="s">
        <v>26</v>
      </c>
      <c r="C80" s="6">
        <v>44086</v>
      </c>
      <c r="D80" s="69">
        <v>3.0000000000000001E-3</v>
      </c>
      <c r="E80" s="70">
        <v>4.8000000000000001E-2</v>
      </c>
      <c r="F80" s="68">
        <v>8.3000000000000007</v>
      </c>
      <c r="G80" s="71">
        <v>8.1999999999999993</v>
      </c>
      <c r="H80" s="72">
        <v>13.2</v>
      </c>
      <c r="I80" s="73">
        <v>24</v>
      </c>
      <c r="J80" s="68">
        <v>8.6</v>
      </c>
      <c r="K80" s="71">
        <v>8.6</v>
      </c>
      <c r="L80" s="74">
        <f>((C80*(1-(D80+E80))*(F80-G80)*0.15*'Travel Time - Value'!$B$19)+(C80*(1-(D80+E80))*(H80-I80)*0.2*'Travel Time - Value'!$B$19)+(C80*(1-(D80+E80))*(J80-K80)*0.65*'Travel Time - Value'!$B$19))*(1/3600)*365</f>
        <v>-12647.345104977916</v>
      </c>
      <c r="M80" s="75">
        <f t="shared" si="1"/>
        <v>-28.763359625000003</v>
      </c>
      <c r="N80" s="76">
        <f>((C80*E80*(F80-G80)*0.15*'Travel Time - Value'!$B$20)+(C80*E80*(H80-I80)*0.2*'Travel Time - Value'!$B$20)+(C80*E80*(J80-K80)*0.65*'Travel Time - Value'!$B$20))*(1/3600)*365</f>
        <v>-460.21375400000005</v>
      </c>
      <c r="O80" s="300"/>
      <c r="P80" s="300"/>
      <c r="Q80" s="300"/>
      <c r="R80" s="300"/>
      <c r="S80" s="300"/>
      <c r="T80" s="300"/>
    </row>
    <row r="81" spans="1:20" x14ac:dyDescent="0.25">
      <c r="A81" s="68">
        <v>923</v>
      </c>
      <c r="B81" s="6" t="s">
        <v>27</v>
      </c>
      <c r="C81" s="6">
        <v>42484</v>
      </c>
      <c r="D81" s="69">
        <v>2E-3</v>
      </c>
      <c r="E81" s="70">
        <v>4.8000000000000001E-2</v>
      </c>
      <c r="F81" s="68">
        <v>33.6</v>
      </c>
      <c r="G81" s="71">
        <v>33.5</v>
      </c>
      <c r="H81" s="72">
        <v>47.8</v>
      </c>
      <c r="I81" s="73">
        <v>43.9</v>
      </c>
      <c r="J81" s="68">
        <v>32.700000000000003</v>
      </c>
      <c r="K81" s="71">
        <v>33.200000000000003</v>
      </c>
      <c r="L81" s="74">
        <f>((C81*(1-(D81+E81))*(F81-G81)*0.15*'Travel Time - Value'!$B$19)+(C81*(1-(D81+E81))*(H81-I81)*0.2*'Travel Time - Value'!$B$19)+(C81*(1-(D81+E81))*(J81-K81)*0.65*'Travel Time - Value'!$B$19))*(1/3600)*365</f>
        <v>2673.3266469722207</v>
      </c>
      <c r="M81" s="75">
        <f t="shared" si="1"/>
        <v>4.0489612222222213</v>
      </c>
      <c r="N81" s="76">
        <f>((C81*E81*(F81-G81)*0.15*'Travel Time - Value'!$B$20)+(C81*E81*(H81-I81)*0.2*'Travel Time - Value'!$B$20)+(C81*E81*(J81-K81)*0.65*'Travel Time - Value'!$B$20))*(1/3600)*365</f>
        <v>97.175069333333326</v>
      </c>
      <c r="O81" s="300"/>
      <c r="P81" s="300"/>
      <c r="Q81" s="300"/>
      <c r="R81" s="300"/>
      <c r="S81" s="300"/>
      <c r="T81" s="300"/>
    </row>
    <row r="82" spans="1:20" x14ac:dyDescent="0.25">
      <c r="A82" s="68">
        <v>977</v>
      </c>
      <c r="B82" s="6" t="s">
        <v>26</v>
      </c>
      <c r="C82" s="6">
        <v>48127</v>
      </c>
      <c r="D82" s="69">
        <v>2E-3</v>
      </c>
      <c r="E82" s="70">
        <v>4.2000000000000003E-2</v>
      </c>
      <c r="F82" s="68">
        <v>9.1999999999999993</v>
      </c>
      <c r="G82" s="71">
        <v>8.1</v>
      </c>
      <c r="H82" s="72">
        <v>77.400000000000006</v>
      </c>
      <c r="I82" s="73">
        <v>58.7</v>
      </c>
      <c r="J82" s="68">
        <v>57.1</v>
      </c>
      <c r="K82" s="71">
        <v>50.5</v>
      </c>
      <c r="L82" s="74">
        <f>((C82*(1-(D82+E82))*(F82-G82)*0.15*'Travel Time - Value'!$B$19)+(C82*(1-(D82+E82))*(H82-I82)*0.2*'Travel Time - Value'!$B$19)+(C82*(1-(D82+E82))*(J82-K82)*0.65*'Travel Time - Value'!$B$19))*(1/3600)*365</f>
        <v>53137.46169037473</v>
      </c>
      <c r="M82" s="75">
        <f t="shared" si="1"/>
        <v>79.975710680555579</v>
      </c>
      <c r="N82" s="76">
        <f>((C82*E82*(F82-G82)*0.15*'Travel Time - Value'!$B$20)+(C82*E82*(H82-I82)*0.2*'Travel Time - Value'!$B$20)+(C82*E82*(J82-K82)*0.65*'Travel Time - Value'!$B$20))*(1/3600)*365</f>
        <v>1679.489924291667</v>
      </c>
      <c r="O82" s="300"/>
      <c r="P82" s="300"/>
      <c r="Q82" s="300"/>
      <c r="R82" s="300"/>
      <c r="S82" s="300"/>
      <c r="T82" s="300"/>
    </row>
    <row r="83" spans="1:20" x14ac:dyDescent="0.25">
      <c r="A83" s="68">
        <v>977</v>
      </c>
      <c r="B83" s="6" t="s">
        <v>27</v>
      </c>
      <c r="C83" s="6">
        <v>46715</v>
      </c>
      <c r="D83" s="69">
        <v>2E-3</v>
      </c>
      <c r="E83" s="70">
        <v>4.2000000000000003E-2</v>
      </c>
      <c r="F83" s="68">
        <v>22.1</v>
      </c>
      <c r="G83" s="71">
        <v>31.3</v>
      </c>
      <c r="H83" s="72">
        <v>22.2</v>
      </c>
      <c r="I83" s="73">
        <v>32.299999999999997</v>
      </c>
      <c r="J83" s="68">
        <v>16.7</v>
      </c>
      <c r="K83" s="71">
        <v>16.8</v>
      </c>
      <c r="L83" s="74">
        <f>((C83*(1-(D83+E83))*(F83-G83)*0.15*'Travel Time - Value'!$B$19)+(C83*(1-(D83+E83))*(H83-I83)*0.2*'Travel Time - Value'!$B$19)+(C83*(1-(D83+E83))*(J83-K83)*0.65*'Travel Time - Value'!$B$19))*(1/3600)*365</f>
        <v>-21808.341958287507</v>
      </c>
      <c r="M83" s="75">
        <f t="shared" si="1"/>
        <v>-32.823126875000014</v>
      </c>
      <c r="N83" s="76">
        <f>((C83*E83*(F83-G83)*0.15*'Travel Time - Value'!$B$20)+(C83*E83*(H83-I83)*0.2*'Travel Time - Value'!$B$20)+(C83*E83*(J83-K83)*0.65*'Travel Time - Value'!$B$20))*(1/3600)*365</f>
        <v>-689.28566437500012</v>
      </c>
      <c r="O83" s="300"/>
      <c r="P83" s="300"/>
      <c r="Q83" s="300"/>
      <c r="R83" s="300"/>
      <c r="S83" s="300"/>
      <c r="T83" s="300"/>
    </row>
    <row r="84" spans="1:20" x14ac:dyDescent="0.25">
      <c r="A84" s="68">
        <v>978</v>
      </c>
      <c r="B84" s="6" t="s">
        <v>26</v>
      </c>
      <c r="C84" s="6">
        <v>2156</v>
      </c>
      <c r="D84" s="69">
        <v>2E-3</v>
      </c>
      <c r="E84" s="70">
        <v>4.2000000000000003E-2</v>
      </c>
      <c r="F84" s="68">
        <v>34.799999999999997</v>
      </c>
      <c r="G84" s="71">
        <v>20.399999999999999</v>
      </c>
      <c r="H84" s="72">
        <v>139.69999999999999</v>
      </c>
      <c r="I84" s="73">
        <v>99.3</v>
      </c>
      <c r="J84" s="68">
        <v>140.69999999999999</v>
      </c>
      <c r="K84" s="71">
        <v>106.8</v>
      </c>
      <c r="L84" s="74">
        <f>((C84*(1-(D84+E84))*(F84-G84)*0.15*'Travel Time - Value'!$B$19)+(C84*(1-(D84+E84))*(H84-I84)*0.2*'Travel Time - Value'!$B$19)+(C84*(1-(D84+E84))*(J84-K84)*0.65*'Travel Time - Value'!$B$19))*(1/3600)*365</f>
        <v>9375.1465162055538</v>
      </c>
      <c r="M84" s="75">
        <f t="shared" si="1"/>
        <v>14.110271388888886</v>
      </c>
      <c r="N84" s="76">
        <f>((C84*E84*(F84-G84)*0.15*'Travel Time - Value'!$B$20)+(C84*E84*(H84-I84)*0.2*'Travel Time - Value'!$B$20)+(C84*E84*(J84-K84)*0.65*'Travel Time - Value'!$B$20))*(1/3600)*365</f>
        <v>296.3156991666666</v>
      </c>
      <c r="O84" s="300"/>
      <c r="P84" s="300"/>
      <c r="Q84" s="300"/>
      <c r="R84" s="300"/>
      <c r="S84" s="300"/>
      <c r="T84" s="300"/>
    </row>
    <row r="85" spans="1:20" x14ac:dyDescent="0.25">
      <c r="A85" s="68">
        <v>978</v>
      </c>
      <c r="B85" s="6" t="s">
        <v>27</v>
      </c>
      <c r="C85" s="6">
        <v>46715</v>
      </c>
      <c r="D85" s="69">
        <v>2E-3</v>
      </c>
      <c r="E85" s="70">
        <v>4.2000000000000003E-2</v>
      </c>
      <c r="F85" s="68">
        <v>7</v>
      </c>
      <c r="G85" s="71">
        <v>6.4</v>
      </c>
      <c r="H85" s="72">
        <v>11.4</v>
      </c>
      <c r="I85" s="73">
        <v>11.1</v>
      </c>
      <c r="J85" s="68">
        <v>5.3</v>
      </c>
      <c r="K85" s="71">
        <v>5.0999999999999996</v>
      </c>
      <c r="L85" s="74">
        <f>((C85*(1-(D85+E85))*(F85-G85)*0.15*'Travel Time - Value'!$B$19)+(C85*(1-(D85+E85))*(H85-I85)*0.2*'Travel Time - Value'!$B$19)+(C85*(1-(D85+E85))*(J85-K85)*0.65*'Travel Time - Value'!$B$19))*(1/3600)*365</f>
        <v>1762.290259255557</v>
      </c>
      <c r="M85" s="75">
        <f t="shared" si="1"/>
        <v>2.6523738888888908</v>
      </c>
      <c r="N85" s="76">
        <f>((C85*E85*(F85-G85)*0.15*'Travel Time - Value'!$B$20)+(C85*E85*(H85-I85)*0.2*'Travel Time - Value'!$B$20)+(C85*E85*(J85-K85)*0.65*'Travel Time - Value'!$B$20))*(1/3600)*365</f>
        <v>55.699851666666717</v>
      </c>
      <c r="O85" s="300"/>
      <c r="P85" s="300"/>
      <c r="Q85" s="300"/>
      <c r="R85" s="300"/>
      <c r="S85" s="300"/>
      <c r="T85" s="300"/>
    </row>
    <row r="86" spans="1:20" x14ac:dyDescent="0.25">
      <c r="A86" s="68">
        <v>2091</v>
      </c>
      <c r="B86" s="6" t="s">
        <v>26</v>
      </c>
      <c r="C86" s="6">
        <v>18401</v>
      </c>
      <c r="D86" s="69">
        <v>5.0000000000000001E-3</v>
      </c>
      <c r="E86" s="70">
        <v>3.1E-2</v>
      </c>
      <c r="F86" s="68">
        <v>6.3</v>
      </c>
      <c r="G86" s="71">
        <v>9.3000000000000007</v>
      </c>
      <c r="H86" s="72">
        <v>7.2</v>
      </c>
      <c r="I86" s="73">
        <v>9.1</v>
      </c>
      <c r="J86" s="68">
        <v>6.6</v>
      </c>
      <c r="K86" s="71">
        <v>8.6</v>
      </c>
      <c r="L86" s="74">
        <f>((C86*(1-(D86+E86))*(F86-G86)*0.15*'Travel Time - Value'!$B$19)+(C86*(1-(D86+E86))*(H86-I86)*0.2*'Travel Time - Value'!$B$19)+(C86*(1-(D86+E86))*(J86-K86)*0.65*'Travel Time - Value'!$B$19))*(1/3600)*365</f>
        <v>-5324.7990968616668</v>
      </c>
      <c r="M86" s="75">
        <f t="shared" si="1"/>
        <v>-19.869246458333329</v>
      </c>
      <c r="N86" s="76">
        <f>((C86*E86*(F86-G86)*0.15*'Travel Time - Value'!$B$20)+(C86*E86*(H86-I86)*0.2*'Travel Time - Value'!$B$20)+(C86*E86*(J86-K86)*0.65*'Travel Time - Value'!$B$20))*(1/3600)*365</f>
        <v>-123.18932804166667</v>
      </c>
      <c r="O86" s="300"/>
      <c r="P86" s="300"/>
      <c r="Q86" s="300"/>
      <c r="R86" s="300"/>
      <c r="S86" s="300"/>
      <c r="T86" s="300"/>
    </row>
    <row r="87" spans="1:20" x14ac:dyDescent="0.25">
      <c r="A87" s="68">
        <v>2091</v>
      </c>
      <c r="B87" s="6" t="s">
        <v>27</v>
      </c>
      <c r="C87" s="6">
        <v>14202</v>
      </c>
      <c r="D87" s="69">
        <v>5.0000000000000001E-3</v>
      </c>
      <c r="E87" s="70">
        <v>2.5999999999999999E-2</v>
      </c>
      <c r="F87" s="68">
        <v>37.700000000000003</v>
      </c>
      <c r="G87" s="71">
        <v>67.400000000000006</v>
      </c>
      <c r="H87" s="72">
        <v>36.4</v>
      </c>
      <c r="I87" s="73">
        <v>45.3</v>
      </c>
      <c r="J87" s="68">
        <v>26.7</v>
      </c>
      <c r="K87" s="71">
        <v>53.9</v>
      </c>
      <c r="L87" s="74">
        <f>((C87*(1-(D87+E87))*(F87-G87)*0.15*'Travel Time - Value'!$B$19)+(C87*(1-(D87+E87))*(H87-I87)*0.2*'Travel Time - Value'!$B$19)+(C87*(1-(D87+E87))*(J87-K87)*0.65*'Travel Time - Value'!$B$19))*(1/3600)*365</f>
        <v>-46381.931964551244</v>
      </c>
      <c r="M87" s="75">
        <f t="shared" si="1"/>
        <v>-172.17903187499999</v>
      </c>
      <c r="N87" s="76">
        <f>((C87*E87*(F87-G87)*0.15*'Travel Time - Value'!$B$20)+(C87*E87*(H87-I87)*0.2*'Travel Time - Value'!$B$20)+(C87*E87*(J87-K87)*0.65*'Travel Time - Value'!$B$20))*(1/3600)*365</f>
        <v>-895.33096575000002</v>
      </c>
      <c r="O87" s="300"/>
      <c r="P87" s="300"/>
      <c r="Q87" s="300"/>
      <c r="R87" s="300"/>
      <c r="S87" s="300"/>
      <c r="T87" s="300"/>
    </row>
    <row r="88" spans="1:20" x14ac:dyDescent="0.25">
      <c r="A88" s="68">
        <v>2092</v>
      </c>
      <c r="B88" s="6" t="s">
        <v>26</v>
      </c>
      <c r="C88" s="6">
        <v>18401</v>
      </c>
      <c r="D88" s="69">
        <v>3.0000000000000001E-3</v>
      </c>
      <c r="E88" s="70">
        <v>3.2000000000000001E-2</v>
      </c>
      <c r="F88" s="68">
        <v>30.5</v>
      </c>
      <c r="G88" s="71">
        <v>55.5</v>
      </c>
      <c r="H88" s="72">
        <v>22.1</v>
      </c>
      <c r="I88" s="73">
        <v>42</v>
      </c>
      <c r="J88" s="68">
        <v>17.399999999999999</v>
      </c>
      <c r="K88" s="71">
        <v>39.700000000000003</v>
      </c>
      <c r="L88" s="74">
        <f>((C88*(1-(D88+E88))*(F88-G88)*0.15*'Travel Time - Value'!$B$19)+(C88*(1-(D88+E88))*(H88-I88)*0.2*'Travel Time - Value'!$B$19)+(C88*(1-(D88+E88))*(J88-K88)*0.65*'Travel Time - Value'!$B$19))*(1/3600)*365</f>
        <v>-55618.038995519106</v>
      </c>
      <c r="M88" s="75">
        <f t="shared" si="1"/>
        <v>-124.39267677083335</v>
      </c>
      <c r="N88" s="76">
        <f>((C88*E88*(F88-G88)*0.15*'Travel Time - Value'!$B$20)+(C88*E88*(H88-I88)*0.2*'Travel Time - Value'!$B$20)+(C88*E88*(J88-K88)*0.65*'Travel Time - Value'!$B$20))*(1/3600)*365</f>
        <v>-1326.8552188888891</v>
      </c>
      <c r="O88" s="300"/>
      <c r="P88" s="300"/>
      <c r="Q88" s="300"/>
      <c r="R88" s="300"/>
      <c r="S88" s="300"/>
      <c r="T88" s="300"/>
    </row>
    <row r="89" spans="1:20" ht="15.75" thickBot="1" x14ac:dyDescent="0.3">
      <c r="A89" s="77">
        <v>2092</v>
      </c>
      <c r="B89" s="78" t="s">
        <v>27</v>
      </c>
      <c r="C89" s="78">
        <v>14202</v>
      </c>
      <c r="D89" s="79">
        <v>2E-3</v>
      </c>
      <c r="E89" s="80">
        <v>2.3E-2</v>
      </c>
      <c r="F89" s="77">
        <v>8</v>
      </c>
      <c r="G89" s="81">
        <v>16.7</v>
      </c>
      <c r="H89" s="82">
        <v>7.5</v>
      </c>
      <c r="I89" s="83">
        <v>8.4</v>
      </c>
      <c r="J89" s="77">
        <v>6.9</v>
      </c>
      <c r="K89" s="81">
        <v>11.7</v>
      </c>
      <c r="L89" s="84">
        <f>((C89*(1-(D89+E89))*(F89-G89)*0.15*'Travel Time - Value'!$B$19)+(C89*(1-(D89+E89))*(H89-I89)*0.2*'Travel Time - Value'!$B$19)+(C89*(1-(D89+E89))*(J89-K89)*0.65*'Travel Time - Value'!$B$19))*(1/3600)*365</f>
        <v>-8986.4657305312485</v>
      </c>
      <c r="M89" s="85">
        <f t="shared" si="1"/>
        <v>-13.261709249999996</v>
      </c>
      <c r="N89" s="86">
        <f>((C89*E89*(F89-G89)*0.15*'Travel Time - Value'!$B$20)+(C89*E89*(H89-I89)*0.2*'Travel Time - Value'!$B$20)+(C89*E89*(J89-K89)*0.65*'Travel Time - Value'!$B$20))*(1/3600)*365</f>
        <v>-152.50965637499999</v>
      </c>
      <c r="O89" s="300"/>
      <c r="P89" s="300"/>
      <c r="Q89" s="300"/>
      <c r="R89" s="300"/>
      <c r="S89" s="300"/>
      <c r="T89" s="300"/>
    </row>
    <row r="90" spans="1:20" x14ac:dyDescent="0.25">
      <c r="O90" s="301"/>
      <c r="P90" s="301"/>
      <c r="Q90" s="301"/>
      <c r="R90" s="301"/>
      <c r="S90" s="301"/>
      <c r="T90" s="301"/>
    </row>
    <row r="91" spans="1:20" x14ac:dyDescent="0.25">
      <c r="A91" s="21" t="s">
        <v>1</v>
      </c>
      <c r="P91" s="31"/>
      <c r="Q91" s="31"/>
      <c r="R91" s="31"/>
      <c r="S91" s="31"/>
      <c r="T91" s="31"/>
    </row>
    <row r="92" spans="1:20" x14ac:dyDescent="0.25">
      <c r="A92" s="2" t="s">
        <v>67</v>
      </c>
    </row>
    <row r="93" spans="1:20" x14ac:dyDescent="0.25">
      <c r="A93" s="2" t="s">
        <v>103</v>
      </c>
    </row>
    <row r="95" spans="1:20" x14ac:dyDescent="0.25">
      <c r="A95" s="21" t="s">
        <v>38</v>
      </c>
    </row>
    <row r="96" spans="1:20" x14ac:dyDescent="0.25">
      <c r="A96" s="2" t="s">
        <v>68</v>
      </c>
    </row>
    <row r="97" spans="1:1" x14ac:dyDescent="0.25">
      <c r="A97" s="2" t="s">
        <v>279</v>
      </c>
    </row>
    <row r="98" spans="1:1" x14ac:dyDescent="0.25">
      <c r="A98" s="2" t="s">
        <v>478</v>
      </c>
    </row>
    <row r="99" spans="1:1" x14ac:dyDescent="0.25">
      <c r="A99" s="2" t="s">
        <v>69</v>
      </c>
    </row>
    <row r="100" spans="1:1" x14ac:dyDescent="0.25">
      <c r="A100" s="2"/>
    </row>
  </sheetData>
  <mergeCells count="1">
    <mergeCell ref="A1:N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79998168889431442"/>
  </sheetPr>
  <dimension ref="A1:B23"/>
  <sheetViews>
    <sheetView workbookViewId="0">
      <selection activeCell="C20" sqref="C20"/>
    </sheetView>
  </sheetViews>
  <sheetFormatPr defaultRowHeight="15" x14ac:dyDescent="0.25"/>
  <cols>
    <col min="1" max="1" width="23" bestFit="1" customWidth="1"/>
    <col min="2" max="2" width="21.140625" bestFit="1" customWidth="1"/>
  </cols>
  <sheetData>
    <row r="1" spans="1:2" x14ac:dyDescent="0.25">
      <c r="A1" s="482" t="s">
        <v>95</v>
      </c>
      <c r="B1" s="482"/>
    </row>
    <row r="2" spans="1:2" s="64" customFormat="1" x14ac:dyDescent="0.25">
      <c r="A2" s="63"/>
      <c r="B2" s="63"/>
    </row>
    <row r="3" spans="1:2" s="1" customFormat="1" x14ac:dyDescent="0.25">
      <c r="A3" s="11" t="s">
        <v>18</v>
      </c>
      <c r="B3" s="11" t="s">
        <v>22</v>
      </c>
    </row>
    <row r="4" spans="1:2" x14ac:dyDescent="0.25">
      <c r="A4" s="479" t="s">
        <v>93</v>
      </c>
      <c r="B4" s="480"/>
    </row>
    <row r="5" spans="1:2" x14ac:dyDescent="0.25">
      <c r="A5" s="16" t="s">
        <v>19</v>
      </c>
      <c r="B5" s="12">
        <v>13.6</v>
      </c>
    </row>
    <row r="6" spans="1:2" x14ac:dyDescent="0.25">
      <c r="A6" s="16" t="s">
        <v>20</v>
      </c>
      <c r="B6" s="12">
        <v>25.4</v>
      </c>
    </row>
    <row r="7" spans="1:2" x14ac:dyDescent="0.25">
      <c r="A7" s="16" t="s">
        <v>21</v>
      </c>
      <c r="B7" s="12">
        <v>14.1</v>
      </c>
    </row>
    <row r="8" spans="1:2" x14ac:dyDescent="0.25">
      <c r="A8" s="481" t="s">
        <v>92</v>
      </c>
      <c r="B8" s="481"/>
    </row>
    <row r="9" spans="1:2" x14ac:dyDescent="0.25">
      <c r="A9" s="17" t="s">
        <v>23</v>
      </c>
      <c r="B9" s="12">
        <v>27.2</v>
      </c>
    </row>
    <row r="10" spans="1:2" x14ac:dyDescent="0.25">
      <c r="A10" s="17" t="s">
        <v>24</v>
      </c>
      <c r="B10" s="12">
        <v>28.3</v>
      </c>
    </row>
    <row r="11" spans="1:2" x14ac:dyDescent="0.25">
      <c r="A11" s="21" t="s">
        <v>1</v>
      </c>
    </row>
    <row r="12" spans="1:2" x14ac:dyDescent="0.25">
      <c r="A12" s="48" t="s">
        <v>452</v>
      </c>
    </row>
    <row r="13" spans="1:2" x14ac:dyDescent="0.25">
      <c r="A13" s="37" t="s">
        <v>94</v>
      </c>
    </row>
    <row r="16" spans="1:2" x14ac:dyDescent="0.25">
      <c r="A16" s="482" t="s">
        <v>96</v>
      </c>
      <c r="B16" s="482"/>
    </row>
    <row r="18" spans="1:2" x14ac:dyDescent="0.25">
      <c r="A18" s="35" t="s">
        <v>97</v>
      </c>
      <c r="B18" s="35" t="s">
        <v>98</v>
      </c>
    </row>
    <row r="19" spans="1:2" x14ac:dyDescent="0.25">
      <c r="A19" s="16" t="s">
        <v>99</v>
      </c>
      <c r="B19" s="16">
        <v>1.39</v>
      </c>
    </row>
    <row r="20" spans="1:2" x14ac:dyDescent="0.25">
      <c r="A20" s="16" t="s">
        <v>100</v>
      </c>
      <c r="B20" s="16">
        <v>1</v>
      </c>
    </row>
    <row r="21" spans="1:2" x14ac:dyDescent="0.25">
      <c r="A21" s="21" t="s">
        <v>1</v>
      </c>
    </row>
    <row r="22" spans="1:2" x14ac:dyDescent="0.25">
      <c r="A22" s="48" t="s">
        <v>101</v>
      </c>
    </row>
    <row r="23" spans="1:2" x14ac:dyDescent="0.25">
      <c r="A23" s="37"/>
    </row>
  </sheetData>
  <mergeCells count="4">
    <mergeCell ref="A4:B4"/>
    <mergeCell ref="A8:B8"/>
    <mergeCell ref="A1:B1"/>
    <mergeCell ref="A16:B16"/>
  </mergeCells>
  <hyperlinks>
    <hyperlink ref="A13"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sheetPr>
  <dimension ref="A1:M40"/>
  <sheetViews>
    <sheetView workbookViewId="0">
      <selection activeCell="H41" sqref="H41"/>
    </sheetView>
  </sheetViews>
  <sheetFormatPr defaultRowHeight="15" x14ac:dyDescent="0.25"/>
  <cols>
    <col min="1" max="1" width="21.7109375" customWidth="1"/>
    <col min="2" max="12" width="14.85546875" customWidth="1"/>
    <col min="13" max="13" width="15.140625" customWidth="1"/>
    <col min="14" max="14" width="14.85546875" customWidth="1"/>
  </cols>
  <sheetData>
    <row r="1" spans="1:13" x14ac:dyDescent="0.25">
      <c r="A1" s="478" t="s">
        <v>228</v>
      </c>
      <c r="B1" s="478"/>
      <c r="C1" s="478"/>
      <c r="D1" s="478"/>
      <c r="E1" s="478"/>
      <c r="F1" s="478"/>
      <c r="G1" s="478"/>
      <c r="H1" s="478"/>
      <c r="I1" s="478"/>
      <c r="J1" s="478"/>
      <c r="K1" s="478"/>
      <c r="L1" s="478"/>
      <c r="M1" s="478"/>
    </row>
    <row r="3" spans="1:13" ht="14.25" customHeight="1" x14ac:dyDescent="0.25">
      <c r="A3" s="484" t="s">
        <v>0</v>
      </c>
      <c r="B3" s="487" t="s">
        <v>7</v>
      </c>
      <c r="C3" s="490" t="s">
        <v>231</v>
      </c>
      <c r="D3" s="491"/>
      <c r="E3" s="491"/>
      <c r="F3" s="491"/>
      <c r="G3" s="492"/>
      <c r="H3" s="490" t="s">
        <v>116</v>
      </c>
      <c r="I3" s="491"/>
      <c r="J3" s="491"/>
      <c r="K3" s="491"/>
      <c r="L3" s="492"/>
      <c r="M3" s="483" t="s">
        <v>230</v>
      </c>
    </row>
    <row r="4" spans="1:13" x14ac:dyDescent="0.25">
      <c r="A4" s="485"/>
      <c r="B4" s="488"/>
      <c r="C4" s="88" t="s">
        <v>175</v>
      </c>
      <c r="D4" s="88" t="s">
        <v>176</v>
      </c>
      <c r="E4" s="88" t="s">
        <v>177</v>
      </c>
      <c r="F4" s="88" t="s">
        <v>178</v>
      </c>
      <c r="G4" s="88" t="s">
        <v>179</v>
      </c>
      <c r="H4" s="88" t="s">
        <v>175</v>
      </c>
      <c r="I4" s="88" t="s">
        <v>176</v>
      </c>
      <c r="J4" s="88" t="s">
        <v>177</v>
      </c>
      <c r="K4" s="88" t="s">
        <v>178</v>
      </c>
      <c r="L4" s="205" t="s">
        <v>179</v>
      </c>
      <c r="M4" s="483"/>
    </row>
    <row r="5" spans="1:13" x14ac:dyDescent="0.25">
      <c r="A5" s="486"/>
      <c r="B5" s="489"/>
      <c r="C5" s="202" t="s">
        <v>180</v>
      </c>
      <c r="D5" s="202" t="s">
        <v>181</v>
      </c>
      <c r="E5" s="202" t="s">
        <v>229</v>
      </c>
      <c r="F5" s="202" t="s">
        <v>182</v>
      </c>
      <c r="G5" s="202" t="s">
        <v>183</v>
      </c>
      <c r="H5" s="202" t="s">
        <v>180</v>
      </c>
      <c r="I5" s="202" t="s">
        <v>181</v>
      </c>
      <c r="J5" s="202" t="s">
        <v>229</v>
      </c>
      <c r="K5" s="202" t="s">
        <v>182</v>
      </c>
      <c r="L5" s="206" t="s">
        <v>183</v>
      </c>
      <c r="M5" s="483"/>
    </row>
    <row r="6" spans="1:13" x14ac:dyDescent="0.25">
      <c r="A6" s="89">
        <v>2016</v>
      </c>
      <c r="B6" s="29" t="s">
        <v>109</v>
      </c>
      <c r="C6" s="203">
        <f>SUM('Safety Benefits - Calc'!BS6:BS43)*1.015</f>
        <v>1027.5375342829136</v>
      </c>
      <c r="D6" s="203">
        <f>SUM('Safety Benefits - Calc'!BT6:BT43)*1.015</f>
        <v>114.71338976999999</v>
      </c>
      <c r="E6" s="203">
        <f>SUM('Safety Benefits - Calc'!BU6:BU43)*1.015</f>
        <v>19.3625866</v>
      </c>
      <c r="F6" s="203">
        <f>SUM('Safety Benefits - Calc'!BV6:BV43)*1.015</f>
        <v>4.7926473000000005</v>
      </c>
      <c r="G6" s="203">
        <f>SUM('Safety Benefits - Calc'!BW6:BW43)*1.015</f>
        <v>1.17134045</v>
      </c>
      <c r="H6" s="201">
        <v>0</v>
      </c>
      <c r="I6" s="201">
        <v>0</v>
      </c>
      <c r="J6" s="201">
        <v>0</v>
      </c>
      <c r="K6" s="201">
        <v>0</v>
      </c>
      <c r="L6" s="207">
        <v>0</v>
      </c>
      <c r="M6" s="91">
        <f t="shared" ref="M6:M32" si="0">SUM(H6:L6)</f>
        <v>0</v>
      </c>
    </row>
    <row r="7" spans="1:13" x14ac:dyDescent="0.25">
      <c r="A7" s="89">
        <v>2017</v>
      </c>
      <c r="B7" s="29" t="s">
        <v>109</v>
      </c>
      <c r="C7" s="204">
        <f>C6*1.015</f>
        <v>1042.9505972971572</v>
      </c>
      <c r="D7" s="204">
        <f>D6*1.015</f>
        <v>116.43409061654998</v>
      </c>
      <c r="E7" s="204">
        <f>E6*1.015</f>
        <v>19.653025398999997</v>
      </c>
      <c r="F7" s="204">
        <f>F6*1.015</f>
        <v>4.8645370095000002</v>
      </c>
      <c r="G7" s="204">
        <f>G6*1.015</f>
        <v>1.1889105567499998</v>
      </c>
      <c r="H7" s="91">
        <v>0</v>
      </c>
      <c r="I7" s="91">
        <v>0</v>
      </c>
      <c r="J7" s="91">
        <v>0</v>
      </c>
      <c r="K7" s="91">
        <v>0</v>
      </c>
      <c r="L7" s="208">
        <v>0</v>
      </c>
      <c r="M7" s="91">
        <f t="shared" si="0"/>
        <v>0</v>
      </c>
    </row>
    <row r="8" spans="1:13" x14ac:dyDescent="0.25">
      <c r="A8" s="89">
        <v>2018</v>
      </c>
      <c r="B8" s="29" t="s">
        <v>109</v>
      </c>
      <c r="C8" s="204">
        <f t="shared" ref="C8:C32" si="1">C7*1.015</f>
        <v>1058.5948562566143</v>
      </c>
      <c r="D8" s="204">
        <f t="shared" ref="D8:D32" si="2">D7*1.015</f>
        <v>118.18060197579823</v>
      </c>
      <c r="E8" s="204">
        <f t="shared" ref="E8:E32" si="3">E7*1.015</f>
        <v>19.947820779984994</v>
      </c>
      <c r="F8" s="204">
        <f t="shared" ref="F8:F32" si="4">F7*1.015</f>
        <v>4.9375050646425001</v>
      </c>
      <c r="G8" s="204">
        <f t="shared" ref="G8:G32" si="5">G7*1.015</f>
        <v>1.2067442151012497</v>
      </c>
      <c r="H8" s="91">
        <v>0</v>
      </c>
      <c r="I8" s="91">
        <v>0</v>
      </c>
      <c r="J8" s="91">
        <v>0</v>
      </c>
      <c r="K8" s="91">
        <v>0</v>
      </c>
      <c r="L8" s="208">
        <v>0</v>
      </c>
      <c r="M8" s="91">
        <f t="shared" si="0"/>
        <v>0</v>
      </c>
    </row>
    <row r="9" spans="1:13" x14ac:dyDescent="0.25">
      <c r="A9" s="89">
        <v>2019</v>
      </c>
      <c r="B9" s="29" t="s">
        <v>109</v>
      </c>
      <c r="C9" s="204">
        <f t="shared" si="1"/>
        <v>1074.4737791004634</v>
      </c>
      <c r="D9" s="204">
        <f t="shared" si="2"/>
        <v>119.95331100543518</v>
      </c>
      <c r="E9" s="204">
        <f t="shared" si="3"/>
        <v>20.247038091684768</v>
      </c>
      <c r="F9" s="204">
        <f t="shared" si="4"/>
        <v>5.011567640612137</v>
      </c>
      <c r="G9" s="204">
        <f t="shared" si="5"/>
        <v>1.2248453783277684</v>
      </c>
      <c r="H9" s="91">
        <v>0</v>
      </c>
      <c r="I9" s="91">
        <v>0</v>
      </c>
      <c r="J9" s="91">
        <v>0</v>
      </c>
      <c r="K9" s="91">
        <v>0</v>
      </c>
      <c r="L9" s="208">
        <v>0</v>
      </c>
      <c r="M9" s="91">
        <f t="shared" si="0"/>
        <v>0</v>
      </c>
    </row>
    <row r="10" spans="1:13" x14ac:dyDescent="0.25">
      <c r="A10" s="29" t="s">
        <v>105</v>
      </c>
      <c r="B10" s="29" t="s">
        <v>110</v>
      </c>
      <c r="C10" s="204">
        <f t="shared" si="1"/>
        <v>1090.5908857869701</v>
      </c>
      <c r="D10" s="204">
        <f t="shared" si="2"/>
        <v>121.7526106705167</v>
      </c>
      <c r="E10" s="204">
        <f t="shared" si="3"/>
        <v>20.550743663060036</v>
      </c>
      <c r="F10" s="204">
        <f t="shared" si="4"/>
        <v>5.0867411552213184</v>
      </c>
      <c r="G10" s="204">
        <f t="shared" si="5"/>
        <v>1.2432180590026849</v>
      </c>
      <c r="H10" s="91">
        <v>0</v>
      </c>
      <c r="I10" s="91">
        <v>0</v>
      </c>
      <c r="J10" s="91">
        <v>0</v>
      </c>
      <c r="K10" s="91">
        <v>0</v>
      </c>
      <c r="L10" s="208">
        <v>0</v>
      </c>
      <c r="M10" s="91">
        <f t="shared" si="0"/>
        <v>0</v>
      </c>
    </row>
    <row r="11" spans="1:13" x14ac:dyDescent="0.25">
      <c r="A11" s="89">
        <v>2021</v>
      </c>
      <c r="B11" s="29" t="s">
        <v>110</v>
      </c>
      <c r="C11" s="204">
        <f t="shared" si="1"/>
        <v>1106.9497490737747</v>
      </c>
      <c r="D11" s="204">
        <f t="shared" si="2"/>
        <v>123.57889983057444</v>
      </c>
      <c r="E11" s="204">
        <f t="shared" si="3"/>
        <v>20.859004818005936</v>
      </c>
      <c r="F11" s="204">
        <f t="shared" si="4"/>
        <v>5.1630422725496379</v>
      </c>
      <c r="G11" s="204">
        <f t="shared" si="5"/>
        <v>1.2618663298877251</v>
      </c>
      <c r="H11" s="91">
        <v>0</v>
      </c>
      <c r="I11" s="91">
        <v>0</v>
      </c>
      <c r="J11" s="91">
        <v>0</v>
      </c>
      <c r="K11" s="91">
        <v>0</v>
      </c>
      <c r="L11" s="208">
        <v>0</v>
      </c>
      <c r="M11" s="91">
        <f t="shared" si="0"/>
        <v>0</v>
      </c>
    </row>
    <row r="12" spans="1:13" x14ac:dyDescent="0.25">
      <c r="A12" s="29" t="s">
        <v>106</v>
      </c>
      <c r="B12" s="29" t="s">
        <v>110</v>
      </c>
      <c r="C12" s="204">
        <f t="shared" si="1"/>
        <v>1123.5539953098812</v>
      </c>
      <c r="D12" s="204">
        <f t="shared" si="2"/>
        <v>125.43258332803305</v>
      </c>
      <c r="E12" s="204">
        <f t="shared" si="3"/>
        <v>21.171889890276024</v>
      </c>
      <c r="F12" s="204">
        <f t="shared" si="4"/>
        <v>5.240487906637882</v>
      </c>
      <c r="G12" s="204">
        <f t="shared" si="5"/>
        <v>1.2807943248360407</v>
      </c>
      <c r="H12" s="91">
        <v>0</v>
      </c>
      <c r="I12" s="91">
        <v>0</v>
      </c>
      <c r="J12" s="91">
        <v>0</v>
      </c>
      <c r="K12" s="91">
        <v>0</v>
      </c>
      <c r="L12" s="208">
        <v>0</v>
      </c>
      <c r="M12" s="91">
        <f t="shared" si="0"/>
        <v>0</v>
      </c>
    </row>
    <row r="13" spans="1:13" x14ac:dyDescent="0.25">
      <c r="A13" s="89">
        <v>2023</v>
      </c>
      <c r="B13" s="89">
        <v>1</v>
      </c>
      <c r="C13" s="204">
        <f t="shared" si="1"/>
        <v>1140.4073052395293</v>
      </c>
      <c r="D13" s="204">
        <f t="shared" si="2"/>
        <v>127.31407207795353</v>
      </c>
      <c r="E13" s="204">
        <f t="shared" si="3"/>
        <v>21.489468238630163</v>
      </c>
      <c r="F13" s="204">
        <f t="shared" si="4"/>
        <v>5.3190952252374499</v>
      </c>
      <c r="G13" s="204">
        <f t="shared" si="5"/>
        <v>1.3000062397085812</v>
      </c>
      <c r="H13" s="91">
        <f>C13*'KABCO Level - Values'!$B$4</f>
        <v>3649303.3767664935</v>
      </c>
      <c r="I13" s="91">
        <f>D13*'KABCO Level - Values'!$B$5</f>
        <v>8135369.2057812307</v>
      </c>
      <c r="J13" s="91">
        <f>E13*'KABCO Level - Values'!$B$6</f>
        <v>2686183.5298287706</v>
      </c>
      <c r="K13" s="91">
        <f>F13*'KABCO Level - Values'!$B$7</f>
        <v>2441996.6179065132</v>
      </c>
      <c r="L13" s="208">
        <f>G13*'KABCO Level - Values'!$B$8</f>
        <v>12480059.901202379</v>
      </c>
      <c r="M13" s="91">
        <f t="shared" si="0"/>
        <v>29392912.631485388</v>
      </c>
    </row>
    <row r="14" spans="1:13" x14ac:dyDescent="0.25">
      <c r="A14" s="89">
        <v>2024</v>
      </c>
      <c r="B14" s="89">
        <v>2</v>
      </c>
      <c r="C14" s="204">
        <f t="shared" si="1"/>
        <v>1157.5134148181221</v>
      </c>
      <c r="D14" s="204">
        <f t="shared" si="2"/>
        <v>129.2237831591228</v>
      </c>
      <c r="E14" s="204">
        <f t="shared" si="3"/>
        <v>21.811810262209615</v>
      </c>
      <c r="F14" s="204">
        <f t="shared" si="4"/>
        <v>5.3988816536160114</v>
      </c>
      <c r="G14" s="204">
        <f t="shared" si="5"/>
        <v>1.3195063333042099</v>
      </c>
      <c r="H14" s="91">
        <f>C14*'KABCO Level - Values'!$B$4</f>
        <v>3704042.9274179908</v>
      </c>
      <c r="I14" s="91">
        <f>D14*'KABCO Level - Values'!$B$5</f>
        <v>8257399.7438679468</v>
      </c>
      <c r="J14" s="91">
        <f>E14*'KABCO Level - Values'!$B$6</f>
        <v>2726476.2827762021</v>
      </c>
      <c r="K14" s="91">
        <f>F14*'KABCO Level - Values'!$B$7</f>
        <v>2478626.5671751108</v>
      </c>
      <c r="L14" s="208">
        <f>G14*'KABCO Level - Values'!$B$8</f>
        <v>12667260.799720414</v>
      </c>
      <c r="M14" s="91">
        <f t="shared" si="0"/>
        <v>29833806.320957668</v>
      </c>
    </row>
    <row r="15" spans="1:13" x14ac:dyDescent="0.25">
      <c r="A15" s="89">
        <v>2025</v>
      </c>
      <c r="B15" s="89">
        <v>3</v>
      </c>
      <c r="C15" s="204">
        <f t="shared" si="1"/>
        <v>1174.8761160403938</v>
      </c>
      <c r="D15" s="204">
        <f t="shared" si="2"/>
        <v>131.16213990650962</v>
      </c>
      <c r="E15" s="204">
        <f t="shared" si="3"/>
        <v>22.138987416142758</v>
      </c>
      <c r="F15" s="204">
        <f t="shared" si="4"/>
        <v>5.4798648784202513</v>
      </c>
      <c r="G15" s="204">
        <f t="shared" si="5"/>
        <v>1.3392989283037728</v>
      </c>
      <c r="H15" s="91">
        <f>C15*'KABCO Level - Values'!$B$4</f>
        <v>3759603.5713292602</v>
      </c>
      <c r="I15" s="91">
        <f>D15*'KABCO Level - Values'!$B$5</f>
        <v>8381260.7400259646</v>
      </c>
      <c r="J15" s="91">
        <f>E15*'KABCO Level - Values'!$B$6</f>
        <v>2767373.4270178447</v>
      </c>
      <c r="K15" s="91">
        <f>F15*'KABCO Level - Values'!$B$7</f>
        <v>2515805.9656827375</v>
      </c>
      <c r="L15" s="208">
        <f>G15*'KABCO Level - Values'!$B$8</f>
        <v>12857269.71171622</v>
      </c>
      <c r="M15" s="91">
        <f t="shared" si="0"/>
        <v>30281313.415772028</v>
      </c>
    </row>
    <row r="16" spans="1:13" x14ac:dyDescent="0.25">
      <c r="A16" s="89">
        <v>2026</v>
      </c>
      <c r="B16" s="89">
        <v>4</v>
      </c>
      <c r="C16" s="204">
        <f t="shared" si="1"/>
        <v>1192.4992577809996</v>
      </c>
      <c r="D16" s="204">
        <f t="shared" si="2"/>
        <v>133.12957200510726</v>
      </c>
      <c r="E16" s="204">
        <f t="shared" si="3"/>
        <v>22.471072227384898</v>
      </c>
      <c r="F16" s="204">
        <f t="shared" si="4"/>
        <v>5.5620628515965542</v>
      </c>
      <c r="G16" s="204">
        <f t="shared" si="5"/>
        <v>1.3593884122283293</v>
      </c>
      <c r="H16" s="91">
        <f>C16*'KABCO Level - Values'!$B$4</f>
        <v>3815997.6248991988</v>
      </c>
      <c r="I16" s="91">
        <f>D16*'KABCO Level - Values'!$B$5</f>
        <v>8506979.6511263549</v>
      </c>
      <c r="J16" s="91">
        <f>E16*'KABCO Level - Values'!$B$6</f>
        <v>2808884.0284231124</v>
      </c>
      <c r="K16" s="91">
        <f>F16*'KABCO Level - Values'!$B$7</f>
        <v>2553543.0551679782</v>
      </c>
      <c r="L16" s="208">
        <f>G16*'KABCO Level - Values'!$B$8</f>
        <v>13050128.757391961</v>
      </c>
      <c r="M16" s="91">
        <f t="shared" si="0"/>
        <v>30735533.117008604</v>
      </c>
    </row>
    <row r="17" spans="1:13" x14ac:dyDescent="0.25">
      <c r="A17" s="89">
        <v>2027</v>
      </c>
      <c r="B17" s="89">
        <v>5</v>
      </c>
      <c r="C17" s="204">
        <f t="shared" si="1"/>
        <v>1210.3867466477145</v>
      </c>
      <c r="D17" s="204">
        <f t="shared" si="2"/>
        <v>135.12651558518385</v>
      </c>
      <c r="E17" s="204">
        <f t="shared" si="3"/>
        <v>22.80813831079567</v>
      </c>
      <c r="F17" s="204">
        <f t="shared" si="4"/>
        <v>5.6454937943705019</v>
      </c>
      <c r="G17" s="204">
        <f t="shared" si="5"/>
        <v>1.3797792384117542</v>
      </c>
      <c r="H17" s="91">
        <f>C17*'KABCO Level - Values'!$B$4</f>
        <v>3873237.5892726863</v>
      </c>
      <c r="I17" s="91">
        <f>D17*'KABCO Level - Values'!$B$5</f>
        <v>8634584.3458932489</v>
      </c>
      <c r="J17" s="91">
        <f>E17*'KABCO Level - Values'!$B$6</f>
        <v>2851017.2888494586</v>
      </c>
      <c r="K17" s="91">
        <f>F17*'KABCO Level - Values'!$B$7</f>
        <v>2591846.2009954974</v>
      </c>
      <c r="L17" s="208">
        <f>G17*'KABCO Level - Values'!$B$8</f>
        <v>13245880.688752841</v>
      </c>
      <c r="M17" s="91">
        <f t="shared" si="0"/>
        <v>31196566.113763731</v>
      </c>
    </row>
    <row r="18" spans="1:13" x14ac:dyDescent="0.25">
      <c r="A18" s="89">
        <v>2028</v>
      </c>
      <c r="B18" s="89">
        <v>6</v>
      </c>
      <c r="C18" s="204">
        <f t="shared" si="1"/>
        <v>1228.5425478474301</v>
      </c>
      <c r="D18" s="204">
        <f t="shared" si="2"/>
        <v>137.15341331896161</v>
      </c>
      <c r="E18" s="204">
        <f t="shared" si="3"/>
        <v>23.150260385457603</v>
      </c>
      <c r="F18" s="204">
        <f t="shared" si="4"/>
        <v>5.7301762012860591</v>
      </c>
      <c r="G18" s="204">
        <f t="shared" si="5"/>
        <v>1.4004759269879303</v>
      </c>
      <c r="H18" s="91">
        <f>C18*'KABCO Level - Values'!$B$4</f>
        <v>3931336.1531117763</v>
      </c>
      <c r="I18" s="91">
        <f>D18*'KABCO Level - Values'!$B$5</f>
        <v>8764103.1110816468</v>
      </c>
      <c r="J18" s="91">
        <f>E18*'KABCO Level - Values'!$B$6</f>
        <v>2893782.5481822002</v>
      </c>
      <c r="K18" s="91">
        <f>F18*'KABCO Level - Values'!$B$7</f>
        <v>2630723.8940104297</v>
      </c>
      <c r="L18" s="208">
        <f>G18*'KABCO Level - Values'!$B$8</f>
        <v>13444568.89908413</v>
      </c>
      <c r="M18" s="91">
        <f t="shared" si="0"/>
        <v>31664514.605470181</v>
      </c>
    </row>
    <row r="19" spans="1:13" x14ac:dyDescent="0.25">
      <c r="A19" s="89">
        <v>2029</v>
      </c>
      <c r="B19" s="89">
        <v>7</v>
      </c>
      <c r="C19" s="204">
        <f t="shared" si="1"/>
        <v>1246.9706860651415</v>
      </c>
      <c r="D19" s="204">
        <f t="shared" si="2"/>
        <v>139.21071451874602</v>
      </c>
      <c r="E19" s="204">
        <f t="shared" si="3"/>
        <v>23.497514291239465</v>
      </c>
      <c r="F19" s="204">
        <f t="shared" si="4"/>
        <v>5.8161288443053492</v>
      </c>
      <c r="G19" s="204">
        <f t="shared" si="5"/>
        <v>1.4214830658927491</v>
      </c>
      <c r="H19" s="91">
        <f>C19*'KABCO Level - Values'!$B$4</f>
        <v>3990306.1954084528</v>
      </c>
      <c r="I19" s="91">
        <f>D19*'KABCO Level - Values'!$B$5</f>
        <v>8895564.6577478703</v>
      </c>
      <c r="J19" s="91">
        <f>E19*'KABCO Level - Values'!$B$6</f>
        <v>2937189.2864049333</v>
      </c>
      <c r="K19" s="91">
        <f>F19*'KABCO Level - Values'!$B$7</f>
        <v>2670184.7524205856</v>
      </c>
      <c r="L19" s="208">
        <f>G19*'KABCO Level - Values'!$B$8</f>
        <v>13646237.43257039</v>
      </c>
      <c r="M19" s="91">
        <f t="shared" si="0"/>
        <v>32139482.324552231</v>
      </c>
    </row>
    <row r="20" spans="1:13" x14ac:dyDescent="0.25">
      <c r="A20" s="89">
        <v>2030</v>
      </c>
      <c r="B20" s="89">
        <v>8</v>
      </c>
      <c r="C20" s="204">
        <f t="shared" si="1"/>
        <v>1265.6752463561186</v>
      </c>
      <c r="D20" s="204">
        <f t="shared" si="2"/>
        <v>141.29887523652718</v>
      </c>
      <c r="E20" s="204">
        <f t="shared" si="3"/>
        <v>23.849977005608054</v>
      </c>
      <c r="F20" s="204">
        <f t="shared" si="4"/>
        <v>5.9033707769699291</v>
      </c>
      <c r="G20" s="204">
        <f t="shared" si="5"/>
        <v>1.4428053118811401</v>
      </c>
      <c r="H20" s="91">
        <f>C20*'KABCO Level - Values'!$B$4</f>
        <v>4050160.7883395795</v>
      </c>
      <c r="I20" s="91">
        <f>D20*'KABCO Level - Values'!$B$5</f>
        <v>9028998.1276140865</v>
      </c>
      <c r="J20" s="91">
        <f>E20*'KABCO Level - Values'!$B$6</f>
        <v>2981247.1257010065</v>
      </c>
      <c r="K20" s="91">
        <f>F20*'KABCO Level - Values'!$B$7</f>
        <v>2710237.5237068944</v>
      </c>
      <c r="L20" s="208">
        <f>G20*'KABCO Level - Values'!$B$8</f>
        <v>13850930.994058946</v>
      </c>
      <c r="M20" s="91">
        <f t="shared" si="0"/>
        <v>32621574.559420511</v>
      </c>
    </row>
    <row r="21" spans="1:13" x14ac:dyDescent="0.25">
      <c r="A21" s="89">
        <v>2031</v>
      </c>
      <c r="B21" s="89">
        <v>9</v>
      </c>
      <c r="C21" s="204">
        <f t="shared" si="1"/>
        <v>1284.6603750514603</v>
      </c>
      <c r="D21" s="204">
        <f t="shared" si="2"/>
        <v>143.41835836507508</v>
      </c>
      <c r="E21" s="204">
        <f t="shared" si="3"/>
        <v>24.20772666069217</v>
      </c>
      <c r="F21" s="204">
        <f t="shared" si="4"/>
        <v>5.9919213386244774</v>
      </c>
      <c r="G21" s="204">
        <f t="shared" si="5"/>
        <v>1.464447391559357</v>
      </c>
      <c r="H21" s="91">
        <f>C21*'KABCO Level - Values'!$B$4</f>
        <v>4110913.2001646729</v>
      </c>
      <c r="I21" s="91">
        <f>D21*'KABCO Level - Values'!$B$5</f>
        <v>9164433.0995282978</v>
      </c>
      <c r="J21" s="91">
        <f>E21*'KABCO Level - Values'!$B$6</f>
        <v>3025965.8325865213</v>
      </c>
      <c r="K21" s="91">
        <f>F21*'KABCO Level - Values'!$B$7</f>
        <v>2750891.0865624975</v>
      </c>
      <c r="L21" s="208">
        <f>G21*'KABCO Level - Values'!$B$8</f>
        <v>14058694.958969828</v>
      </c>
      <c r="M21" s="91">
        <f t="shared" si="0"/>
        <v>33110898.177811816</v>
      </c>
    </row>
    <row r="22" spans="1:13" x14ac:dyDescent="0.25">
      <c r="A22" s="89">
        <v>2032</v>
      </c>
      <c r="B22" s="89">
        <v>10</v>
      </c>
      <c r="C22" s="204">
        <f t="shared" si="1"/>
        <v>1303.9302806772321</v>
      </c>
      <c r="D22" s="204">
        <f t="shared" si="2"/>
        <v>145.56963374055118</v>
      </c>
      <c r="E22" s="204">
        <f t="shared" si="3"/>
        <v>24.57084256060255</v>
      </c>
      <c r="F22" s="204">
        <f t="shared" si="4"/>
        <v>6.0818001587038442</v>
      </c>
      <c r="G22" s="204">
        <f t="shared" si="5"/>
        <v>1.4864141024327473</v>
      </c>
      <c r="H22" s="91">
        <f>C22*'KABCO Level - Values'!$B$4</f>
        <v>4172576.8981671426</v>
      </c>
      <c r="I22" s="91">
        <f>D22*'KABCO Level - Values'!$B$5</f>
        <v>9301899.5960212201</v>
      </c>
      <c r="J22" s="91">
        <f>E22*'KABCO Level - Values'!$B$6</f>
        <v>3071355.3200753187</v>
      </c>
      <c r="K22" s="91">
        <f>F22*'KABCO Level - Values'!$B$7</f>
        <v>2792154.4528609347</v>
      </c>
      <c r="L22" s="208">
        <f>G22*'KABCO Level - Values'!$B$8</f>
        <v>14269575.383354373</v>
      </c>
      <c r="M22" s="91">
        <f t="shared" si="0"/>
        <v>33607561.650478989</v>
      </c>
    </row>
    <row r="23" spans="1:13" x14ac:dyDescent="0.25">
      <c r="A23" s="89">
        <v>2033</v>
      </c>
      <c r="B23" s="89">
        <v>11</v>
      </c>
      <c r="C23" s="204">
        <f t="shared" si="1"/>
        <v>1323.4892348873905</v>
      </c>
      <c r="D23" s="204">
        <f t="shared" si="2"/>
        <v>147.75317824665944</v>
      </c>
      <c r="E23" s="204">
        <f t="shared" si="3"/>
        <v>24.939405199011585</v>
      </c>
      <c r="F23" s="204">
        <f t="shared" si="4"/>
        <v>6.1730271610844012</v>
      </c>
      <c r="G23" s="204">
        <f t="shared" si="5"/>
        <v>1.5087103139692384</v>
      </c>
      <c r="H23" s="91">
        <f>C23*'KABCO Level - Values'!$B$4</f>
        <v>4235165.5516396491</v>
      </c>
      <c r="I23" s="91">
        <f>D23*'KABCO Level - Values'!$B$5</f>
        <v>9441428.0899615381</v>
      </c>
      <c r="J23" s="91">
        <f>E23*'KABCO Level - Values'!$B$6</f>
        <v>3117425.6498764483</v>
      </c>
      <c r="K23" s="91">
        <f>F23*'KABCO Level - Values'!$B$7</f>
        <v>2834036.7696538484</v>
      </c>
      <c r="L23" s="208">
        <f>G23*'KABCO Level - Values'!$B$8</f>
        <v>14483619.014104689</v>
      </c>
      <c r="M23" s="91">
        <f t="shared" si="0"/>
        <v>34111675.075236171</v>
      </c>
    </row>
    <row r="24" spans="1:13" x14ac:dyDescent="0.25">
      <c r="A24" s="89">
        <v>2034</v>
      </c>
      <c r="B24" s="89">
        <v>12</v>
      </c>
      <c r="C24" s="204">
        <f t="shared" si="1"/>
        <v>1343.3415734107011</v>
      </c>
      <c r="D24" s="204">
        <f t="shared" si="2"/>
        <v>149.96947592035932</v>
      </c>
      <c r="E24" s="204">
        <f t="shared" si="3"/>
        <v>25.313496276996755</v>
      </c>
      <c r="F24" s="204">
        <f t="shared" si="4"/>
        <v>6.2656225685006666</v>
      </c>
      <c r="G24" s="204">
        <f t="shared" si="5"/>
        <v>1.5313409686787769</v>
      </c>
      <c r="H24" s="91">
        <f>C24*'KABCO Level - Values'!$B$4</f>
        <v>4298693.034914244</v>
      </c>
      <c r="I24" s="91">
        <f>D24*'KABCO Level - Values'!$B$5</f>
        <v>9583049.5113109611</v>
      </c>
      <c r="J24" s="91">
        <f>E24*'KABCO Level - Values'!$B$6</f>
        <v>3164187.0346245943</v>
      </c>
      <c r="K24" s="91">
        <f>F24*'KABCO Level - Values'!$B$7</f>
        <v>2876547.3211986562</v>
      </c>
      <c r="L24" s="208">
        <f>G24*'KABCO Level - Values'!$B$8</f>
        <v>14700873.299316257</v>
      </c>
      <c r="M24" s="91">
        <f t="shared" si="0"/>
        <v>34623350.201364711</v>
      </c>
    </row>
    <row r="25" spans="1:13" x14ac:dyDescent="0.25">
      <c r="A25" s="89">
        <v>2035</v>
      </c>
      <c r="B25" s="89">
        <v>13</v>
      </c>
      <c r="C25" s="204">
        <f t="shared" si="1"/>
        <v>1363.4916970118616</v>
      </c>
      <c r="D25" s="204">
        <f t="shared" si="2"/>
        <v>152.21901805916468</v>
      </c>
      <c r="E25" s="204">
        <f t="shared" si="3"/>
        <v>25.693198721151703</v>
      </c>
      <c r="F25" s="204">
        <f t="shared" si="4"/>
        <v>6.3596069070281755</v>
      </c>
      <c r="G25" s="204">
        <f t="shared" si="5"/>
        <v>1.5543110832089584</v>
      </c>
      <c r="H25" s="91">
        <f>C25*'KABCO Level - Values'!$B$4</f>
        <v>4363173.4304379569</v>
      </c>
      <c r="I25" s="91">
        <f>D25*'KABCO Level - Values'!$B$5</f>
        <v>9726795.2539806236</v>
      </c>
      <c r="J25" s="91">
        <f>E25*'KABCO Level - Values'!$B$6</f>
        <v>3211649.8401439628</v>
      </c>
      <c r="K25" s="91">
        <f>F25*'KABCO Level - Values'!$B$7</f>
        <v>2919695.5310166352</v>
      </c>
      <c r="L25" s="208">
        <f>G25*'KABCO Level - Values'!$B$8</f>
        <v>14921386.398806</v>
      </c>
      <c r="M25" s="91">
        <f t="shared" si="0"/>
        <v>35142700.454385184</v>
      </c>
    </row>
    <row r="26" spans="1:13" x14ac:dyDescent="0.25">
      <c r="A26" s="89">
        <v>2036</v>
      </c>
      <c r="B26" s="89">
        <v>14</v>
      </c>
      <c r="C26" s="204">
        <f t="shared" si="1"/>
        <v>1383.9440724670394</v>
      </c>
      <c r="D26" s="204">
        <f t="shared" si="2"/>
        <v>154.50230333005214</v>
      </c>
      <c r="E26" s="204">
        <f t="shared" si="3"/>
        <v>26.078596701968976</v>
      </c>
      <c r="F26" s="204">
        <f t="shared" si="4"/>
        <v>6.4550010106335973</v>
      </c>
      <c r="G26" s="204">
        <f t="shared" si="5"/>
        <v>1.5776257494570927</v>
      </c>
      <c r="H26" s="91">
        <f>C26*'KABCO Level - Values'!$B$4</f>
        <v>4428621.0318945264</v>
      </c>
      <c r="I26" s="91">
        <f>D26*'KABCO Level - Values'!$B$5</f>
        <v>9872697.1827903315</v>
      </c>
      <c r="J26" s="91">
        <f>E26*'KABCO Level - Values'!$B$6</f>
        <v>3259824.5877461219</v>
      </c>
      <c r="K26" s="91">
        <f>F26*'KABCO Level - Values'!$B$7</f>
        <v>2963490.9639818845</v>
      </c>
      <c r="L26" s="208">
        <f>G26*'KABCO Level - Values'!$B$8</f>
        <v>15145207.194788089</v>
      </c>
      <c r="M26" s="91">
        <f t="shared" si="0"/>
        <v>35669840.961200953</v>
      </c>
    </row>
    <row r="27" spans="1:13" x14ac:dyDescent="0.25">
      <c r="A27" s="89">
        <v>2037</v>
      </c>
      <c r="B27" s="89">
        <v>15</v>
      </c>
      <c r="C27" s="204">
        <f t="shared" si="1"/>
        <v>1404.7032335540448</v>
      </c>
      <c r="D27" s="204">
        <f t="shared" si="2"/>
        <v>156.81983788000292</v>
      </c>
      <c r="E27" s="204">
        <f t="shared" si="3"/>
        <v>26.469775652498509</v>
      </c>
      <c r="F27" s="204">
        <f t="shared" si="4"/>
        <v>6.5518260257931002</v>
      </c>
      <c r="G27" s="204">
        <f t="shared" si="5"/>
        <v>1.6012901356989488</v>
      </c>
      <c r="H27" s="91">
        <f>C27*'KABCO Level - Values'!$B$4</f>
        <v>4495050.3473729435</v>
      </c>
      <c r="I27" s="91">
        <f>D27*'KABCO Level - Values'!$B$5</f>
        <v>10020787.640532186</v>
      </c>
      <c r="J27" s="91">
        <f>E27*'KABCO Level - Values'!$B$6</f>
        <v>3308721.9565623137</v>
      </c>
      <c r="K27" s="91">
        <f>F27*'KABCO Level - Values'!$B$7</f>
        <v>3007943.3284416124</v>
      </c>
      <c r="L27" s="208">
        <f>G27*'KABCO Level - Values'!$B$8</f>
        <v>15372385.302709909</v>
      </c>
      <c r="M27" s="91">
        <f t="shared" si="0"/>
        <v>36204888.575618967</v>
      </c>
    </row>
    <row r="28" spans="1:13" x14ac:dyDescent="0.25">
      <c r="A28" s="89">
        <v>2038</v>
      </c>
      <c r="B28" s="89">
        <v>16</v>
      </c>
      <c r="C28" s="204">
        <f t="shared" si="1"/>
        <v>1425.7737820573554</v>
      </c>
      <c r="D28" s="204">
        <f t="shared" si="2"/>
        <v>159.17213544820294</v>
      </c>
      <c r="E28" s="204">
        <f t="shared" si="3"/>
        <v>26.866822287285984</v>
      </c>
      <c r="F28" s="204">
        <f t="shared" si="4"/>
        <v>6.6501034161799959</v>
      </c>
      <c r="G28" s="204">
        <f t="shared" si="5"/>
        <v>1.625309487734433</v>
      </c>
      <c r="H28" s="91">
        <f>C28*'KABCO Level - Values'!$B$4</f>
        <v>4562476.1025835378</v>
      </c>
      <c r="I28" s="91">
        <f>D28*'KABCO Level - Values'!$B$5</f>
        <v>10171099.455140168</v>
      </c>
      <c r="J28" s="91">
        <f>E28*'KABCO Level - Values'!$B$6</f>
        <v>3358352.7859107479</v>
      </c>
      <c r="K28" s="91">
        <f>F28*'KABCO Level - Values'!$B$7</f>
        <v>3053062.4783682362</v>
      </c>
      <c r="L28" s="208">
        <f>G28*'KABCO Level - Values'!$B$8</f>
        <v>15602971.082250556</v>
      </c>
      <c r="M28" s="91">
        <f t="shared" si="0"/>
        <v>36747961.904253244</v>
      </c>
    </row>
    <row r="29" spans="1:13" x14ac:dyDescent="0.25">
      <c r="A29" s="89">
        <v>2039</v>
      </c>
      <c r="B29" s="89">
        <v>17</v>
      </c>
      <c r="C29" s="204">
        <f t="shared" si="1"/>
        <v>1447.1603887882156</v>
      </c>
      <c r="D29" s="204">
        <f t="shared" si="2"/>
        <v>161.55971747992598</v>
      </c>
      <c r="E29" s="204">
        <f t="shared" si="3"/>
        <v>27.269824621595273</v>
      </c>
      <c r="F29" s="204">
        <f t="shared" si="4"/>
        <v>6.7498549674226949</v>
      </c>
      <c r="G29" s="204">
        <f t="shared" si="5"/>
        <v>1.6496891300504493</v>
      </c>
      <c r="H29" s="91">
        <f>C29*'KABCO Level - Values'!$B$4</f>
        <v>4630913.2441222901</v>
      </c>
      <c r="I29" s="91">
        <f>D29*'KABCO Level - Values'!$B$5</f>
        <v>10323665.94696727</v>
      </c>
      <c r="J29" s="91">
        <f>E29*'KABCO Level - Values'!$B$6</f>
        <v>3408728.0776994093</v>
      </c>
      <c r="K29" s="91">
        <f>F29*'KABCO Level - Values'!$B$7</f>
        <v>3098858.4155437592</v>
      </c>
      <c r="L29" s="208">
        <f>G29*'KABCO Level - Values'!$B$8</f>
        <v>15837015.648484312</v>
      </c>
      <c r="M29" s="91">
        <f t="shared" si="0"/>
        <v>37299181.33281704</v>
      </c>
    </row>
    <row r="30" spans="1:13" x14ac:dyDescent="0.25">
      <c r="A30" s="89">
        <v>2040</v>
      </c>
      <c r="B30" s="89">
        <v>18</v>
      </c>
      <c r="C30" s="204">
        <f t="shared" si="1"/>
        <v>1468.8677946200387</v>
      </c>
      <c r="D30" s="204">
        <f t="shared" si="2"/>
        <v>163.98311324212486</v>
      </c>
      <c r="E30" s="204">
        <f t="shared" si="3"/>
        <v>27.678871990919198</v>
      </c>
      <c r="F30" s="204">
        <f t="shared" si="4"/>
        <v>6.8511027919340348</v>
      </c>
      <c r="G30" s="204">
        <f t="shared" si="5"/>
        <v>1.6744344670012059</v>
      </c>
      <c r="H30" s="91">
        <f>C30*'KABCO Level - Values'!$B$4</f>
        <v>4700376.9427841241</v>
      </c>
      <c r="I30" s="91">
        <f>D30*'KABCO Level - Values'!$B$5</f>
        <v>10478520.936171778</v>
      </c>
      <c r="J30" s="91">
        <f>E30*'KABCO Level - Values'!$B$6</f>
        <v>3459858.9988648999</v>
      </c>
      <c r="K30" s="91">
        <f>F30*'KABCO Level - Values'!$B$7</f>
        <v>3145341.2917769155</v>
      </c>
      <c r="L30" s="208">
        <f>G30*'KABCO Level - Values'!$B$8</f>
        <v>16074570.883211577</v>
      </c>
      <c r="M30" s="91">
        <f t="shared" si="0"/>
        <v>37858669.052809291</v>
      </c>
    </row>
    <row r="31" spans="1:13" x14ac:dyDescent="0.25">
      <c r="A31" s="89">
        <v>2041</v>
      </c>
      <c r="B31" s="89">
        <v>19</v>
      </c>
      <c r="C31" s="204">
        <f t="shared" si="1"/>
        <v>1490.9008115393392</v>
      </c>
      <c r="D31" s="204">
        <f t="shared" si="2"/>
        <v>166.4428599407567</v>
      </c>
      <c r="E31" s="204">
        <f t="shared" si="3"/>
        <v>28.094055070782982</v>
      </c>
      <c r="F31" s="204">
        <f t="shared" si="4"/>
        <v>6.9538693338130448</v>
      </c>
      <c r="G31" s="204">
        <f t="shared" si="5"/>
        <v>1.6995509840062237</v>
      </c>
      <c r="H31" s="91">
        <f>C31*'KABCO Level - Values'!$B$4</f>
        <v>4770882.5969258854</v>
      </c>
      <c r="I31" s="91">
        <f>D31*'KABCO Level - Values'!$B$5</f>
        <v>10635698.750214353</v>
      </c>
      <c r="J31" s="91">
        <f>E31*'KABCO Level - Values'!$B$6</f>
        <v>3511756.8838478727</v>
      </c>
      <c r="K31" s="91">
        <f>F31*'KABCO Level - Values'!$B$7</f>
        <v>3192521.4111535689</v>
      </c>
      <c r="L31" s="208">
        <f>G31*'KABCO Level - Values'!$B$8</f>
        <v>16315689.446459748</v>
      </c>
      <c r="M31" s="91">
        <f t="shared" si="0"/>
        <v>38426549.088601425</v>
      </c>
    </row>
    <row r="32" spans="1:13" x14ac:dyDescent="0.25">
      <c r="A32" s="89">
        <v>2042</v>
      </c>
      <c r="B32" s="89">
        <v>20</v>
      </c>
      <c r="C32" s="204">
        <f t="shared" si="1"/>
        <v>1513.2643237124291</v>
      </c>
      <c r="D32" s="204">
        <f t="shared" si="2"/>
        <v>168.93950283986803</v>
      </c>
      <c r="E32" s="204">
        <f t="shared" si="3"/>
        <v>28.515465896844724</v>
      </c>
      <c r="F32" s="204">
        <f t="shared" si="4"/>
        <v>7.0581773738202402</v>
      </c>
      <c r="G32" s="204">
        <f t="shared" si="5"/>
        <v>1.7250442487663169</v>
      </c>
      <c r="H32" s="91">
        <f>C32*'KABCO Level - Values'!$B$4</f>
        <v>4842445.8358797729</v>
      </c>
      <c r="I32" s="91">
        <f>D32*'KABCO Level - Values'!$B$5</f>
        <v>10795234.231467567</v>
      </c>
      <c r="J32" s="91">
        <f>E32*'KABCO Level - Values'!$B$6</f>
        <v>3564433.2371055903</v>
      </c>
      <c r="K32" s="91">
        <f>F32*'KABCO Level - Values'!$B$7</f>
        <v>3240409.2323208721</v>
      </c>
      <c r="L32" s="208">
        <f>G32*'KABCO Level - Values'!$B$8</f>
        <v>16560424.788156642</v>
      </c>
      <c r="M32" s="91">
        <f t="shared" si="0"/>
        <v>39002947.324930444</v>
      </c>
    </row>
    <row r="33" spans="1:13" x14ac:dyDescent="0.25">
      <c r="A33" s="93"/>
      <c r="B33" s="93"/>
      <c r="C33" s="93"/>
      <c r="D33" s="93"/>
      <c r="E33" s="93"/>
      <c r="F33" s="93"/>
      <c r="G33" s="94" t="s">
        <v>42</v>
      </c>
      <c r="H33" s="95">
        <f>AVERAGE(H13:H32)</f>
        <v>4219263.8221716098</v>
      </c>
      <c r="I33" s="95">
        <f t="shared" ref="I33:M33" si="6">AVERAGE(I13:I32)</f>
        <v>9405978.4638612345</v>
      </c>
      <c r="J33" s="95">
        <f t="shared" si="6"/>
        <v>3105720.6861113659</v>
      </c>
      <c r="K33" s="95">
        <f t="shared" si="6"/>
        <v>2823395.8429972585</v>
      </c>
      <c r="L33" s="95">
        <f t="shared" si="6"/>
        <v>14429237.529255465</v>
      </c>
      <c r="M33" s="95">
        <f t="shared" si="6"/>
        <v>33983596.344396926</v>
      </c>
    </row>
    <row r="34" spans="1:13" x14ac:dyDescent="0.25">
      <c r="A34" s="93"/>
      <c r="B34" s="93"/>
      <c r="C34" s="93"/>
      <c r="D34" s="93"/>
      <c r="E34" s="93"/>
      <c r="F34" s="93"/>
      <c r="G34" s="94" t="s">
        <v>43</v>
      </c>
      <c r="H34" s="95">
        <f>SUM(H13:H32)</f>
        <v>84385276.443432197</v>
      </c>
      <c r="I34" s="95">
        <f t="shared" ref="I34:L34" si="7">SUM(I13:I32)</f>
        <v>188119569.27722469</v>
      </c>
      <c r="J34" s="95">
        <f t="shared" si="7"/>
        <v>62114413.72222732</v>
      </c>
      <c r="K34" s="95">
        <f t="shared" si="7"/>
        <v>56467916.859945171</v>
      </c>
      <c r="L34" s="95">
        <f t="shared" si="7"/>
        <v>288584750.58510929</v>
      </c>
      <c r="M34" s="95">
        <f>SUM(M13:M32)</f>
        <v>679671926.8879385</v>
      </c>
    </row>
    <row r="36" spans="1:13" x14ac:dyDescent="0.25">
      <c r="A36" s="21" t="s">
        <v>38</v>
      </c>
    </row>
    <row r="37" spans="1:13" x14ac:dyDescent="0.25">
      <c r="A37" s="2" t="s">
        <v>479</v>
      </c>
    </row>
    <row r="38" spans="1:13" x14ac:dyDescent="0.25">
      <c r="A38" s="2" t="s">
        <v>66</v>
      </c>
    </row>
    <row r="39" spans="1:13" x14ac:dyDescent="0.25">
      <c r="A39" s="2" t="s">
        <v>261</v>
      </c>
    </row>
    <row r="40" spans="1:13" x14ac:dyDescent="0.25">
      <c r="A40" s="2" t="s">
        <v>118</v>
      </c>
    </row>
  </sheetData>
  <mergeCells count="6">
    <mergeCell ref="A1:M1"/>
    <mergeCell ref="M3:M5"/>
    <mergeCell ref="A3:A5"/>
    <mergeCell ref="B3:B5"/>
    <mergeCell ref="C3:G3"/>
    <mergeCell ref="H3:L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sheetPr>
  <dimension ref="A1:CD61"/>
  <sheetViews>
    <sheetView zoomScale="70" zoomScaleNormal="70" workbookViewId="0">
      <selection activeCell="BE55" sqref="BE55"/>
    </sheetView>
  </sheetViews>
  <sheetFormatPr defaultRowHeight="15" x14ac:dyDescent="0.25"/>
  <cols>
    <col min="1" max="1" width="5.7109375" style="22" customWidth="1"/>
    <col min="2" max="2" width="6.140625" customWidth="1"/>
    <col min="3" max="3" width="5.7109375" customWidth="1"/>
    <col min="4" max="4" width="19.28515625" style="93" customWidth="1"/>
    <col min="5" max="5" width="65" style="4" bestFit="1" customWidth="1"/>
    <col min="6" max="6" width="12.28515625" style="4" customWidth="1"/>
    <col min="7" max="7" width="12.28515625" customWidth="1"/>
    <col min="8" max="8" width="12.140625" customWidth="1"/>
    <col min="9" max="14" width="12.28515625" customWidth="1"/>
    <col min="15" max="15" width="13.140625" customWidth="1"/>
    <col min="16" max="70" width="7.42578125" customWidth="1"/>
    <col min="71" max="77" width="12.28515625" customWidth="1"/>
    <col min="78" max="78" width="13.42578125" customWidth="1"/>
    <col min="79" max="79" width="14.5703125" customWidth="1"/>
    <col min="80" max="80" width="12.28515625" customWidth="1"/>
  </cols>
  <sheetData>
    <row r="1" spans="1:82" x14ac:dyDescent="0.25">
      <c r="A1" s="478" t="s">
        <v>189</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M1" s="478"/>
      <c r="BN1" s="478"/>
      <c r="BO1" s="478"/>
      <c r="BP1" s="478"/>
      <c r="BQ1" s="478"/>
      <c r="BR1" s="478"/>
      <c r="BS1" s="478"/>
      <c r="BT1" s="478"/>
      <c r="BU1" s="478"/>
      <c r="BV1" s="478"/>
      <c r="BW1" s="478"/>
      <c r="BX1" s="478"/>
      <c r="BY1" s="478"/>
      <c r="BZ1" s="478"/>
      <c r="CA1" s="478"/>
      <c r="CB1" s="478"/>
    </row>
    <row r="2" spans="1:82" s="64" customFormat="1" ht="15.75" thickBot="1" x14ac:dyDescent="0.3">
      <c r="A2" s="122"/>
      <c r="B2" s="108"/>
      <c r="C2" s="108"/>
      <c r="D2" s="108"/>
      <c r="E2" s="108"/>
      <c r="F2" s="108"/>
      <c r="G2" s="108"/>
      <c r="H2" s="108"/>
      <c r="I2" s="108"/>
      <c r="J2" s="108"/>
    </row>
    <row r="3" spans="1:82" s="64" customFormat="1" ht="17.25" customHeight="1" x14ac:dyDescent="0.25">
      <c r="A3" s="501" t="s">
        <v>172</v>
      </c>
      <c r="B3" s="502"/>
      <c r="C3" s="502"/>
      <c r="D3" s="502"/>
      <c r="E3" s="503"/>
      <c r="F3" s="494" t="s">
        <v>191</v>
      </c>
      <c r="G3" s="495"/>
      <c r="H3" s="495"/>
      <c r="I3" s="495"/>
      <c r="J3" s="496"/>
      <c r="K3" s="494" t="s">
        <v>192</v>
      </c>
      <c r="L3" s="495"/>
      <c r="M3" s="495"/>
      <c r="N3" s="495"/>
      <c r="O3" s="496"/>
      <c r="P3" s="495" t="s">
        <v>286</v>
      </c>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6"/>
      <c r="BS3" s="494" t="s">
        <v>225</v>
      </c>
      <c r="BT3" s="495"/>
      <c r="BU3" s="495"/>
      <c r="BV3" s="495"/>
      <c r="BW3" s="496"/>
      <c r="BX3" s="494" t="s">
        <v>226</v>
      </c>
      <c r="BY3" s="495"/>
      <c r="BZ3" s="495"/>
      <c r="CA3" s="495"/>
      <c r="CB3" s="496"/>
    </row>
    <row r="4" spans="1:82" s="64" customFormat="1" ht="17.25" x14ac:dyDescent="0.25">
      <c r="A4" s="504"/>
      <c r="B4" s="505"/>
      <c r="C4" s="505"/>
      <c r="D4" s="505"/>
      <c r="E4" s="506"/>
      <c r="F4" s="111" t="s">
        <v>287</v>
      </c>
      <c r="G4" s="111" t="s">
        <v>176</v>
      </c>
      <c r="H4" s="111" t="s">
        <v>177</v>
      </c>
      <c r="I4" s="111" t="s">
        <v>178</v>
      </c>
      <c r="J4" s="132" t="s">
        <v>179</v>
      </c>
      <c r="K4" s="465" t="s">
        <v>287</v>
      </c>
      <c r="L4" s="111" t="s">
        <v>176</v>
      </c>
      <c r="M4" s="111" t="s">
        <v>177</v>
      </c>
      <c r="N4" s="111" t="s">
        <v>178</v>
      </c>
      <c r="O4" s="132" t="s">
        <v>179</v>
      </c>
      <c r="P4" s="497" t="s">
        <v>217</v>
      </c>
      <c r="Q4" s="497"/>
      <c r="R4" s="497"/>
      <c r="S4" s="497"/>
      <c r="T4" s="497"/>
      <c r="U4" s="497"/>
      <c r="V4" s="497"/>
      <c r="W4" s="497"/>
      <c r="X4" s="497"/>
      <c r="Y4" s="497"/>
      <c r="Z4" s="498"/>
      <c r="AA4" s="499" t="s">
        <v>218</v>
      </c>
      <c r="AB4" s="497"/>
      <c r="AC4" s="497"/>
      <c r="AD4" s="497"/>
      <c r="AE4" s="497"/>
      <c r="AF4" s="497"/>
      <c r="AG4" s="497"/>
      <c r="AH4" s="497"/>
      <c r="AI4" s="497"/>
      <c r="AJ4" s="497"/>
      <c r="AK4" s="498"/>
      <c r="AL4" s="499" t="s">
        <v>219</v>
      </c>
      <c r="AM4" s="497"/>
      <c r="AN4" s="497"/>
      <c r="AO4" s="497"/>
      <c r="AP4" s="497"/>
      <c r="AQ4" s="497"/>
      <c r="AR4" s="497"/>
      <c r="AS4" s="497"/>
      <c r="AT4" s="497"/>
      <c r="AU4" s="497"/>
      <c r="AV4" s="498"/>
      <c r="AW4" s="499" t="s">
        <v>220</v>
      </c>
      <c r="AX4" s="497"/>
      <c r="AY4" s="497"/>
      <c r="AZ4" s="497"/>
      <c r="BA4" s="497"/>
      <c r="BB4" s="497"/>
      <c r="BC4" s="497"/>
      <c r="BD4" s="497"/>
      <c r="BE4" s="497"/>
      <c r="BF4" s="497"/>
      <c r="BG4" s="498"/>
      <c r="BH4" s="497" t="s">
        <v>221</v>
      </c>
      <c r="BI4" s="497"/>
      <c r="BJ4" s="497"/>
      <c r="BK4" s="497"/>
      <c r="BL4" s="497"/>
      <c r="BM4" s="497"/>
      <c r="BN4" s="497"/>
      <c r="BO4" s="497"/>
      <c r="BP4" s="497"/>
      <c r="BQ4" s="497"/>
      <c r="BR4" s="500"/>
      <c r="BS4" s="111" t="s">
        <v>287</v>
      </c>
      <c r="BT4" s="111" t="s">
        <v>176</v>
      </c>
      <c r="BU4" s="111" t="s">
        <v>177</v>
      </c>
      <c r="BV4" s="111" t="s">
        <v>178</v>
      </c>
      <c r="BW4" s="132" t="s">
        <v>179</v>
      </c>
      <c r="BX4" s="111" t="s">
        <v>287</v>
      </c>
      <c r="BY4" s="111" t="s">
        <v>176</v>
      </c>
      <c r="BZ4" s="111" t="s">
        <v>177</v>
      </c>
      <c r="CA4" s="111" t="s">
        <v>178</v>
      </c>
      <c r="CB4" s="132" t="s">
        <v>179</v>
      </c>
    </row>
    <row r="5" spans="1:82" s="109" customFormat="1" ht="30" customHeight="1" thickBot="1" x14ac:dyDescent="0.3">
      <c r="A5" s="507"/>
      <c r="B5" s="508"/>
      <c r="C5" s="508"/>
      <c r="D5" s="508"/>
      <c r="E5" s="509"/>
      <c r="F5" s="133" t="s">
        <v>184</v>
      </c>
      <c r="G5" s="133" t="s">
        <v>185</v>
      </c>
      <c r="H5" s="133" t="s">
        <v>186</v>
      </c>
      <c r="I5" s="133" t="s">
        <v>187</v>
      </c>
      <c r="J5" s="134" t="s">
        <v>188</v>
      </c>
      <c r="K5" s="466" t="s">
        <v>184</v>
      </c>
      <c r="L5" s="133" t="s">
        <v>185</v>
      </c>
      <c r="M5" s="133" t="s">
        <v>186</v>
      </c>
      <c r="N5" s="133" t="s">
        <v>187</v>
      </c>
      <c r="O5" s="134" t="s">
        <v>188</v>
      </c>
      <c r="P5" s="169" t="s">
        <v>206</v>
      </c>
      <c r="Q5" s="166" t="s">
        <v>207</v>
      </c>
      <c r="R5" s="167" t="s">
        <v>208</v>
      </c>
      <c r="S5" s="167" t="s">
        <v>209</v>
      </c>
      <c r="T5" s="168" t="s">
        <v>210</v>
      </c>
      <c r="U5" s="169" t="s">
        <v>211</v>
      </c>
      <c r="V5" s="167" t="s">
        <v>212</v>
      </c>
      <c r="W5" s="169" t="s">
        <v>213</v>
      </c>
      <c r="X5" s="167" t="s">
        <v>214</v>
      </c>
      <c r="Y5" s="167" t="s">
        <v>215</v>
      </c>
      <c r="Z5" s="170" t="s">
        <v>216</v>
      </c>
      <c r="AA5" s="171" t="s">
        <v>206</v>
      </c>
      <c r="AB5" s="166" t="s">
        <v>207</v>
      </c>
      <c r="AC5" s="167" t="s">
        <v>208</v>
      </c>
      <c r="AD5" s="167" t="s">
        <v>209</v>
      </c>
      <c r="AE5" s="168" t="s">
        <v>210</v>
      </c>
      <c r="AF5" s="169" t="s">
        <v>211</v>
      </c>
      <c r="AG5" s="167" t="s">
        <v>212</v>
      </c>
      <c r="AH5" s="169" t="s">
        <v>213</v>
      </c>
      <c r="AI5" s="167" t="s">
        <v>214</v>
      </c>
      <c r="AJ5" s="167" t="s">
        <v>215</v>
      </c>
      <c r="AK5" s="170" t="s">
        <v>216</v>
      </c>
      <c r="AL5" s="171" t="s">
        <v>206</v>
      </c>
      <c r="AM5" s="166" t="s">
        <v>207</v>
      </c>
      <c r="AN5" s="167" t="s">
        <v>208</v>
      </c>
      <c r="AO5" s="167" t="s">
        <v>209</v>
      </c>
      <c r="AP5" s="168" t="s">
        <v>210</v>
      </c>
      <c r="AQ5" s="169" t="s">
        <v>211</v>
      </c>
      <c r="AR5" s="167" t="s">
        <v>212</v>
      </c>
      <c r="AS5" s="169" t="s">
        <v>213</v>
      </c>
      <c r="AT5" s="167" t="s">
        <v>214</v>
      </c>
      <c r="AU5" s="167" t="s">
        <v>215</v>
      </c>
      <c r="AV5" s="170" t="s">
        <v>216</v>
      </c>
      <c r="AW5" s="171" t="s">
        <v>206</v>
      </c>
      <c r="AX5" s="166" t="s">
        <v>207</v>
      </c>
      <c r="AY5" s="167" t="s">
        <v>208</v>
      </c>
      <c r="AZ5" s="167" t="s">
        <v>209</v>
      </c>
      <c r="BA5" s="168" t="s">
        <v>210</v>
      </c>
      <c r="BB5" s="169" t="s">
        <v>211</v>
      </c>
      <c r="BC5" s="167" t="s">
        <v>212</v>
      </c>
      <c r="BD5" s="169" t="s">
        <v>213</v>
      </c>
      <c r="BE5" s="167" t="s">
        <v>214</v>
      </c>
      <c r="BF5" s="167" t="s">
        <v>215</v>
      </c>
      <c r="BG5" s="170" t="s">
        <v>216</v>
      </c>
      <c r="BH5" s="169" t="s">
        <v>206</v>
      </c>
      <c r="BI5" s="166" t="s">
        <v>207</v>
      </c>
      <c r="BJ5" s="167" t="s">
        <v>208</v>
      </c>
      <c r="BK5" s="167" t="s">
        <v>209</v>
      </c>
      <c r="BL5" s="168" t="s">
        <v>210</v>
      </c>
      <c r="BM5" s="169" t="s">
        <v>211</v>
      </c>
      <c r="BN5" s="167" t="s">
        <v>212</v>
      </c>
      <c r="BO5" s="169" t="s">
        <v>213</v>
      </c>
      <c r="BP5" s="167" t="s">
        <v>214</v>
      </c>
      <c r="BQ5" s="167" t="s">
        <v>215</v>
      </c>
      <c r="BR5" s="175" t="s">
        <v>216</v>
      </c>
      <c r="BS5" s="133" t="s">
        <v>184</v>
      </c>
      <c r="BT5" s="133" t="s">
        <v>185</v>
      </c>
      <c r="BU5" s="133" t="s">
        <v>186</v>
      </c>
      <c r="BV5" s="133" t="s">
        <v>187</v>
      </c>
      <c r="BW5" s="134" t="s">
        <v>188</v>
      </c>
      <c r="BX5" s="133" t="s">
        <v>184</v>
      </c>
      <c r="BY5" s="133" t="s">
        <v>185</v>
      </c>
      <c r="BZ5" s="133" t="s">
        <v>186</v>
      </c>
      <c r="CA5" s="133" t="s">
        <v>187</v>
      </c>
      <c r="CB5" s="134" t="s">
        <v>188</v>
      </c>
    </row>
    <row r="6" spans="1:82" s="123" customFormat="1" x14ac:dyDescent="0.25">
      <c r="A6" s="516" t="s">
        <v>173</v>
      </c>
      <c r="B6" s="513" t="s">
        <v>199</v>
      </c>
      <c r="C6" s="522" t="s">
        <v>200</v>
      </c>
      <c r="D6" s="522"/>
      <c r="E6" s="153" t="s">
        <v>137</v>
      </c>
      <c r="F6" s="305">
        <v>3095.5300000000407</v>
      </c>
      <c r="G6" s="172">
        <v>287</v>
      </c>
      <c r="H6" s="172">
        <v>34</v>
      </c>
      <c r="I6" s="172">
        <v>6</v>
      </c>
      <c r="J6" s="173">
        <v>1</v>
      </c>
      <c r="K6" s="467">
        <f t="shared" ref="K6:K43" si="0">F6/5</f>
        <v>619.10600000000818</v>
      </c>
      <c r="L6" s="151">
        <f t="shared" ref="L6:L43" si="1">G6/5</f>
        <v>57.4</v>
      </c>
      <c r="M6" s="151">
        <f t="shared" ref="M6:M43" si="2">H6/5</f>
        <v>6.8</v>
      </c>
      <c r="N6" s="151">
        <f t="shared" ref="N6:N43" si="3">I6/5</f>
        <v>1.2</v>
      </c>
      <c r="O6" s="152">
        <f t="shared" ref="O6:O43" si="4">J6/5</f>
        <v>0.2</v>
      </c>
      <c r="P6" s="158">
        <f>'CMF - Values'!$C$20</f>
        <v>0.95</v>
      </c>
      <c r="Q6" s="158">
        <f>'CMF - Values'!$C$7</f>
        <v>0.57999999999999996</v>
      </c>
      <c r="R6" s="158">
        <f>'CMF - Values'!$C$5</f>
        <v>0.93</v>
      </c>
      <c r="S6" s="158"/>
      <c r="T6" s="158"/>
      <c r="U6" s="158"/>
      <c r="V6" s="158"/>
      <c r="W6" s="158"/>
      <c r="X6" s="158"/>
      <c r="Y6" s="158"/>
      <c r="Z6" s="179">
        <f>PRODUCT(SMALL(P6:Y6,1),SMALL(P6:Y6,2),SMALL(P6:Y6,3))</f>
        <v>0.51242999999999994</v>
      </c>
      <c r="AA6" s="164">
        <f>'CMF - Values'!$C$20</f>
        <v>0.95</v>
      </c>
      <c r="AB6" s="158">
        <f>'CMF - Values'!$C$7</f>
        <v>0.57999999999999996</v>
      </c>
      <c r="AC6" s="158">
        <f>'CMF - Values'!$C$4</f>
        <v>0.85</v>
      </c>
      <c r="AD6" s="158"/>
      <c r="AE6" s="158"/>
      <c r="AF6" s="158"/>
      <c r="AG6" s="158"/>
      <c r="AH6" s="158"/>
      <c r="AI6" s="158"/>
      <c r="AJ6" s="158"/>
      <c r="AK6" s="179">
        <f>PRODUCT(SMALL(AA6:AJ6,1),SMALL(AA6:AJ6,2),SMALL(AA6:AJ6,3))</f>
        <v>0.46834999999999993</v>
      </c>
      <c r="AL6" s="164">
        <f>'CMF - Values'!$C$20</f>
        <v>0.95</v>
      </c>
      <c r="AM6" s="158">
        <f>'CMF - Values'!$C$7</f>
        <v>0.57999999999999996</v>
      </c>
      <c r="AN6" s="158">
        <f>'CMF - Values'!$C$4</f>
        <v>0.85</v>
      </c>
      <c r="AO6" s="158"/>
      <c r="AP6" s="158"/>
      <c r="AQ6" s="158"/>
      <c r="AR6" s="158"/>
      <c r="AS6" s="158"/>
      <c r="AT6" s="158"/>
      <c r="AU6" s="158"/>
      <c r="AV6" s="179">
        <f>PRODUCT(SMALL(AL6:AU6,1),SMALL(AL6:AU6,2),SMALL(AL6:AU6,3))</f>
        <v>0.46834999999999993</v>
      </c>
      <c r="AW6" s="164">
        <f>'CMF - Values'!$C$20</f>
        <v>0.95</v>
      </c>
      <c r="AX6" s="158">
        <f>'CMF - Values'!$C$7</f>
        <v>0.57999999999999996</v>
      </c>
      <c r="AY6" s="158">
        <f>'CMF - Values'!$C$4</f>
        <v>0.85</v>
      </c>
      <c r="AZ6" s="158"/>
      <c r="BA6" s="158"/>
      <c r="BB6" s="158"/>
      <c r="BC6" s="158"/>
      <c r="BD6" s="158"/>
      <c r="BE6" s="158"/>
      <c r="BF6" s="158"/>
      <c r="BG6" s="179">
        <f>PRODUCT(SMALL(AW6:BF6,1),SMALL(AW6:BF6,2),SMALL(AW6:BF6,3))</f>
        <v>0.46834999999999993</v>
      </c>
      <c r="BH6" s="158">
        <f>'CMF - Values'!$C$20</f>
        <v>0.95</v>
      </c>
      <c r="BI6" s="158">
        <f>'CMF - Values'!$C$7</f>
        <v>0.57999999999999996</v>
      </c>
      <c r="BJ6" s="158">
        <f>'CMF - Values'!$C$4</f>
        <v>0.85</v>
      </c>
      <c r="BK6" s="158"/>
      <c r="BL6" s="158"/>
      <c r="BM6" s="158"/>
      <c r="BN6" s="158"/>
      <c r="BO6" s="158"/>
      <c r="BP6" s="158"/>
      <c r="BQ6" s="158"/>
      <c r="BR6" s="184">
        <f>PRODUCT(SMALL(BH6:BQ6,1),SMALL(BH6:BQ6,2),SMALL(BH6:BQ6,3))</f>
        <v>0.46834999999999993</v>
      </c>
      <c r="BS6" s="188">
        <f t="shared" ref="BS6:BS43" si="5">K6*(1-Z6)</f>
        <v>301.85751242000401</v>
      </c>
      <c r="BT6" s="188">
        <f t="shared" ref="BT6:BT43" si="6">L6*(1-AK6)</f>
        <v>30.516710000000003</v>
      </c>
      <c r="BU6" s="188">
        <f>M6*(1-AV6)</f>
        <v>3.6152200000000003</v>
      </c>
      <c r="BV6" s="188">
        <f>N6*(1-BG6)</f>
        <v>0.6379800000000001</v>
      </c>
      <c r="BW6" s="139">
        <f t="shared" ref="BW6:BW43" si="7">O6*(1-BR6)</f>
        <v>0.10633000000000002</v>
      </c>
      <c r="BX6" s="192">
        <f>BS6*'KABCO Level - Values'!$B$4</f>
        <v>965944.03974401287</v>
      </c>
      <c r="BY6" s="192">
        <f>BT6*'KABCO Level - Values'!$B$5</f>
        <v>1950017.7690000003</v>
      </c>
      <c r="BZ6" s="192">
        <f>BU6*'KABCO Level - Values'!$B$6</f>
        <v>451902.50000000006</v>
      </c>
      <c r="CA6" s="192">
        <f>BV6*'KABCO Level - Values'!$B$7</f>
        <v>292896.61800000007</v>
      </c>
      <c r="CB6" s="196">
        <f>BW6*'KABCO Level - Values'!$B$8</f>
        <v>1020768.0000000002</v>
      </c>
      <c r="CD6" s="302"/>
    </row>
    <row r="7" spans="1:82" s="123" customFormat="1" ht="14.25" customHeight="1" x14ac:dyDescent="0.25">
      <c r="A7" s="517"/>
      <c r="B7" s="514"/>
      <c r="C7" s="493"/>
      <c r="D7" s="493"/>
      <c r="E7" s="154" t="s">
        <v>139</v>
      </c>
      <c r="F7" s="306">
        <v>104.25000000000003</v>
      </c>
      <c r="G7" s="136">
        <v>14</v>
      </c>
      <c r="H7" s="136">
        <v>3</v>
      </c>
      <c r="I7" s="136">
        <v>0</v>
      </c>
      <c r="J7" s="137">
        <v>0</v>
      </c>
      <c r="K7" s="468">
        <f t="shared" si="0"/>
        <v>20.850000000000005</v>
      </c>
      <c r="L7" s="138">
        <f t="shared" si="1"/>
        <v>2.8</v>
      </c>
      <c r="M7" s="138">
        <f t="shared" si="2"/>
        <v>0.6</v>
      </c>
      <c r="N7" s="138">
        <f t="shared" si="3"/>
        <v>0</v>
      </c>
      <c r="O7" s="139">
        <f t="shared" si="4"/>
        <v>0</v>
      </c>
      <c r="P7" s="158">
        <f>'CMF - Values'!$C$20</f>
        <v>0.95</v>
      </c>
      <c r="Q7" s="158">
        <f>'CMF - Values'!$C$8</f>
        <v>0.7</v>
      </c>
      <c r="R7" s="158">
        <f>'CMF - Values'!$C$5</f>
        <v>0.93</v>
      </c>
      <c r="S7" s="158"/>
      <c r="T7" s="158"/>
      <c r="U7" s="158"/>
      <c r="V7" s="158"/>
      <c r="W7" s="158"/>
      <c r="X7" s="158"/>
      <c r="Y7" s="158"/>
      <c r="Z7" s="179">
        <f t="shared" ref="Z7:Z43" si="8">PRODUCT(SMALL(P7:Y7,1),SMALL(P7:Y7,2),SMALL(P7:Y7,3))</f>
        <v>0.61844999999999994</v>
      </c>
      <c r="AA7" s="164">
        <f>'CMF - Values'!$C$20</f>
        <v>0.95</v>
      </c>
      <c r="AB7" s="158">
        <f>'CMF - Values'!$C$8</f>
        <v>0.7</v>
      </c>
      <c r="AC7" s="158">
        <f>'CMF - Values'!$C$4</f>
        <v>0.85</v>
      </c>
      <c r="AD7" s="158"/>
      <c r="AE7" s="158"/>
      <c r="AF7" s="158"/>
      <c r="AG7" s="158"/>
      <c r="AH7" s="158"/>
      <c r="AI7" s="158"/>
      <c r="AJ7" s="158"/>
      <c r="AK7" s="179">
        <f t="shared" ref="AK7:AK43" si="9">PRODUCT(SMALL(AA7:AJ7,1),SMALL(AA7:AJ7,2),SMALL(AA7:AJ7,3))</f>
        <v>0.56524999999999992</v>
      </c>
      <c r="AL7" s="164">
        <f>'CMF - Values'!$C$20</f>
        <v>0.95</v>
      </c>
      <c r="AM7" s="158">
        <f>'CMF - Values'!$C$8</f>
        <v>0.7</v>
      </c>
      <c r="AN7" s="158">
        <f>'CMF - Values'!$C$4</f>
        <v>0.85</v>
      </c>
      <c r="AO7" s="158"/>
      <c r="AP7" s="158"/>
      <c r="AQ7" s="158"/>
      <c r="AR7" s="158"/>
      <c r="AS7" s="158"/>
      <c r="AT7" s="158"/>
      <c r="AU7" s="158"/>
      <c r="AV7" s="179">
        <f t="shared" ref="AV7:AV43" si="10">PRODUCT(SMALL(AL7:AU7,1),SMALL(AL7:AU7,2),SMALL(AL7:AU7,3))</f>
        <v>0.56524999999999992</v>
      </c>
      <c r="AW7" s="164">
        <f>'CMF - Values'!$C$20</f>
        <v>0.95</v>
      </c>
      <c r="AX7" s="158">
        <f>'CMF - Values'!$C$8</f>
        <v>0.7</v>
      </c>
      <c r="AY7" s="158">
        <f>'CMF - Values'!$C$4</f>
        <v>0.85</v>
      </c>
      <c r="AZ7" s="158"/>
      <c r="BA7" s="158"/>
      <c r="BB7" s="158"/>
      <c r="BC7" s="158"/>
      <c r="BD7" s="158"/>
      <c r="BE7" s="158"/>
      <c r="BF7" s="158"/>
      <c r="BG7" s="179">
        <f t="shared" ref="BG7:BG43" si="11">PRODUCT(SMALL(AW7:BF7,1),SMALL(AW7:BF7,2),SMALL(AW7:BF7,3))</f>
        <v>0.56524999999999992</v>
      </c>
      <c r="BH7" s="158">
        <f>'CMF - Values'!$C$20</f>
        <v>0.95</v>
      </c>
      <c r="BI7" s="158">
        <f>'CMF - Values'!$C$8</f>
        <v>0.7</v>
      </c>
      <c r="BJ7" s="158">
        <f>'CMF - Values'!$C$4</f>
        <v>0.85</v>
      </c>
      <c r="BK7" s="158"/>
      <c r="BL7" s="158"/>
      <c r="BM7" s="158"/>
      <c r="BN7" s="158"/>
      <c r="BO7" s="158"/>
      <c r="BP7" s="158"/>
      <c r="BQ7" s="158"/>
      <c r="BR7" s="184">
        <f t="shared" ref="BR7:BR43" si="12">PRODUCT(SMALL(BH7:BQ7,1),SMALL(BH7:BQ7,2),SMALL(BH7:BQ7,3))</f>
        <v>0.56524999999999992</v>
      </c>
      <c r="BS7" s="189">
        <f t="shared" si="5"/>
        <v>7.9553175000000032</v>
      </c>
      <c r="BT7" s="189">
        <f t="shared" si="6"/>
        <v>1.2173</v>
      </c>
      <c r="BU7" s="189">
        <f t="shared" ref="BU7:BU43" si="13">M7*(1-AV7)</f>
        <v>0.26085000000000003</v>
      </c>
      <c r="BV7" s="189">
        <f t="shared" ref="BV7:BV43" si="14">N7*(1-BG7)</f>
        <v>0</v>
      </c>
      <c r="BW7" s="139">
        <f t="shared" si="7"/>
        <v>0</v>
      </c>
      <c r="BX7" s="193">
        <f>BS7*'KABCO Level - Values'!$B$4</f>
        <v>25457.016000000011</v>
      </c>
      <c r="BY7" s="193">
        <f>BT7*'KABCO Level - Values'!$B$5</f>
        <v>77785.47</v>
      </c>
      <c r="BZ7" s="193">
        <f>BU7*'KABCO Level - Values'!$B$6</f>
        <v>32606.250000000004</v>
      </c>
      <c r="CA7" s="193">
        <f>BV7*'KABCO Level - Values'!$B$7</f>
        <v>0</v>
      </c>
      <c r="CB7" s="196">
        <f>BW7*'KABCO Level - Values'!$B$8</f>
        <v>0</v>
      </c>
      <c r="CD7" s="302"/>
    </row>
    <row r="8" spans="1:82" s="123" customFormat="1" ht="14.25" customHeight="1" x14ac:dyDescent="0.25">
      <c r="A8" s="517"/>
      <c r="B8" s="514"/>
      <c r="C8" s="493"/>
      <c r="D8" s="493"/>
      <c r="E8" s="154" t="s">
        <v>201</v>
      </c>
      <c r="F8" s="306">
        <v>1.39</v>
      </c>
      <c r="G8" s="136">
        <v>1</v>
      </c>
      <c r="H8" s="136">
        <v>0</v>
      </c>
      <c r="I8" s="136">
        <v>0</v>
      </c>
      <c r="J8" s="137">
        <v>0</v>
      </c>
      <c r="K8" s="468">
        <f t="shared" si="0"/>
        <v>0.27799999999999997</v>
      </c>
      <c r="L8" s="138">
        <f t="shared" si="1"/>
        <v>0.2</v>
      </c>
      <c r="M8" s="138">
        <f t="shared" si="2"/>
        <v>0</v>
      </c>
      <c r="N8" s="138">
        <f t="shared" si="3"/>
        <v>0</v>
      </c>
      <c r="O8" s="139">
        <f t="shared" si="4"/>
        <v>0</v>
      </c>
      <c r="P8" s="158">
        <f>'CMF - Values'!$C$20</f>
        <v>0.95</v>
      </c>
      <c r="Q8" s="158">
        <f>'CMF - Values'!$C$6</f>
        <v>0.76</v>
      </c>
      <c r="R8" s="158">
        <f>'CMF - Values'!$C$5</f>
        <v>0.93</v>
      </c>
      <c r="S8" s="158">
        <f>'CMF - Values'!$C$13</f>
        <v>0.1</v>
      </c>
      <c r="T8" s="158"/>
      <c r="U8" s="158"/>
      <c r="V8" s="158"/>
      <c r="W8" s="158"/>
      <c r="X8" s="158"/>
      <c r="Y8" s="158"/>
      <c r="Z8" s="179">
        <f t="shared" si="8"/>
        <v>7.0680000000000021E-2</v>
      </c>
      <c r="AA8" s="164">
        <f>'CMF - Values'!$C$20</f>
        <v>0.95</v>
      </c>
      <c r="AB8" s="158">
        <f>'CMF - Values'!$C$6</f>
        <v>0.76</v>
      </c>
      <c r="AC8" s="158">
        <f>'CMF - Values'!$C$4</f>
        <v>0.85</v>
      </c>
      <c r="AD8" s="158">
        <f>'CMF - Values'!$C$13</f>
        <v>0.1</v>
      </c>
      <c r="AE8" s="158"/>
      <c r="AF8" s="158"/>
      <c r="AG8" s="158"/>
      <c r="AH8" s="158"/>
      <c r="AI8" s="158"/>
      <c r="AJ8" s="158"/>
      <c r="AK8" s="179">
        <f t="shared" si="9"/>
        <v>6.4600000000000005E-2</v>
      </c>
      <c r="AL8" s="164">
        <f>'CMF - Values'!$C$20</f>
        <v>0.95</v>
      </c>
      <c r="AM8" s="158">
        <f>'CMF - Values'!$C$6</f>
        <v>0.76</v>
      </c>
      <c r="AN8" s="158">
        <f>'CMF - Values'!$C$4</f>
        <v>0.85</v>
      </c>
      <c r="AO8" s="158">
        <f>'CMF - Values'!$C$13</f>
        <v>0.1</v>
      </c>
      <c r="AP8" s="158"/>
      <c r="AQ8" s="158"/>
      <c r="AR8" s="158"/>
      <c r="AS8" s="158"/>
      <c r="AT8" s="158"/>
      <c r="AU8" s="158"/>
      <c r="AV8" s="179">
        <f t="shared" si="10"/>
        <v>6.4600000000000005E-2</v>
      </c>
      <c r="AW8" s="164">
        <f>'CMF - Values'!$C$20</f>
        <v>0.95</v>
      </c>
      <c r="AX8" s="158">
        <f>'CMF - Values'!$C$6</f>
        <v>0.76</v>
      </c>
      <c r="AY8" s="158">
        <f>'CMF - Values'!$C$4</f>
        <v>0.85</v>
      </c>
      <c r="AZ8" s="158">
        <f>'CMF - Values'!$C$13</f>
        <v>0.1</v>
      </c>
      <c r="BA8" s="158"/>
      <c r="BB8" s="158"/>
      <c r="BC8" s="158"/>
      <c r="BD8" s="158"/>
      <c r="BE8" s="158"/>
      <c r="BF8" s="158"/>
      <c r="BG8" s="179">
        <f t="shared" si="11"/>
        <v>6.4600000000000005E-2</v>
      </c>
      <c r="BH8" s="158">
        <f>'CMF - Values'!$C$20</f>
        <v>0.95</v>
      </c>
      <c r="BI8" s="158">
        <f>'CMF - Values'!$C$6</f>
        <v>0.76</v>
      </c>
      <c r="BJ8" s="158">
        <f>'CMF - Values'!$C$4</f>
        <v>0.85</v>
      </c>
      <c r="BK8" s="158">
        <f>'CMF - Values'!$C$13</f>
        <v>0.1</v>
      </c>
      <c r="BL8" s="158"/>
      <c r="BM8" s="158"/>
      <c r="BN8" s="158"/>
      <c r="BO8" s="158"/>
      <c r="BP8" s="158"/>
      <c r="BQ8" s="158"/>
      <c r="BR8" s="184">
        <f t="shared" si="12"/>
        <v>6.4600000000000005E-2</v>
      </c>
      <c r="BS8" s="189">
        <f t="shared" si="5"/>
        <v>0.25835095999999996</v>
      </c>
      <c r="BT8" s="189">
        <f t="shared" si="6"/>
        <v>0.18708000000000002</v>
      </c>
      <c r="BU8" s="189">
        <f t="shared" si="13"/>
        <v>0</v>
      </c>
      <c r="BV8" s="189">
        <f t="shared" si="14"/>
        <v>0</v>
      </c>
      <c r="BW8" s="139">
        <f t="shared" si="7"/>
        <v>0</v>
      </c>
      <c r="BX8" s="193">
        <f>BS8*'KABCO Level - Values'!$B$4</f>
        <v>826.72307199999989</v>
      </c>
      <c r="BY8" s="193">
        <f>BT8*'KABCO Level - Values'!$B$5</f>
        <v>11954.412000000002</v>
      </c>
      <c r="BZ8" s="193">
        <f>BU8*'KABCO Level - Values'!$B$6</f>
        <v>0</v>
      </c>
      <c r="CA8" s="193">
        <f>BV8*'KABCO Level - Values'!$B$7</f>
        <v>0</v>
      </c>
      <c r="CB8" s="196">
        <f>BW8*'KABCO Level - Values'!$B$8</f>
        <v>0</v>
      </c>
      <c r="CD8" s="302"/>
    </row>
    <row r="9" spans="1:82" s="123" customFormat="1" x14ac:dyDescent="0.25">
      <c r="A9" s="517"/>
      <c r="B9" s="514"/>
      <c r="C9" s="493"/>
      <c r="D9" s="493"/>
      <c r="E9" s="155" t="s">
        <v>202</v>
      </c>
      <c r="F9" s="307">
        <v>1844.53</v>
      </c>
      <c r="G9" s="140">
        <v>102</v>
      </c>
      <c r="H9" s="140">
        <v>17</v>
      </c>
      <c r="I9" s="140">
        <v>5</v>
      </c>
      <c r="J9" s="141">
        <v>2</v>
      </c>
      <c r="K9" s="469">
        <f t="shared" si="0"/>
        <v>368.90600000000001</v>
      </c>
      <c r="L9" s="142">
        <f t="shared" si="1"/>
        <v>20.399999999999999</v>
      </c>
      <c r="M9" s="142">
        <f t="shared" si="2"/>
        <v>3.4</v>
      </c>
      <c r="N9" s="142">
        <f t="shared" si="3"/>
        <v>1</v>
      </c>
      <c r="O9" s="143">
        <f t="shared" si="4"/>
        <v>0.4</v>
      </c>
      <c r="P9" s="158">
        <f>'CMF - Values'!$C$20</f>
        <v>0.95</v>
      </c>
      <c r="Q9" s="158">
        <f>'CMF - Values'!$C$6</f>
        <v>0.76</v>
      </c>
      <c r="R9" s="158">
        <f>'CMF - Values'!$C$5</f>
        <v>0.93</v>
      </c>
      <c r="S9" s="158"/>
      <c r="T9" s="158"/>
      <c r="U9" s="158"/>
      <c r="V9" s="158"/>
      <c r="W9" s="158"/>
      <c r="X9" s="158"/>
      <c r="Y9" s="158"/>
      <c r="Z9" s="179">
        <f t="shared" si="8"/>
        <v>0.67146000000000006</v>
      </c>
      <c r="AA9" s="164">
        <f>'CMF - Values'!$C$20</f>
        <v>0.95</v>
      </c>
      <c r="AB9" s="158">
        <f>'CMF - Values'!$C$6</f>
        <v>0.76</v>
      </c>
      <c r="AC9" s="158">
        <f>'CMF - Values'!$C$4</f>
        <v>0.85</v>
      </c>
      <c r="AD9" s="158"/>
      <c r="AE9" s="158"/>
      <c r="AF9" s="158"/>
      <c r="AG9" s="158"/>
      <c r="AH9" s="158"/>
      <c r="AI9" s="158"/>
      <c r="AJ9" s="158"/>
      <c r="AK9" s="179">
        <f t="shared" si="9"/>
        <v>0.61370000000000002</v>
      </c>
      <c r="AL9" s="164">
        <f>'CMF - Values'!$C$20</f>
        <v>0.95</v>
      </c>
      <c r="AM9" s="158">
        <f>'CMF - Values'!$C$6</f>
        <v>0.76</v>
      </c>
      <c r="AN9" s="158">
        <f>'CMF - Values'!$C$4</f>
        <v>0.85</v>
      </c>
      <c r="AO9" s="158"/>
      <c r="AP9" s="158"/>
      <c r="AQ9" s="158"/>
      <c r="AR9" s="158"/>
      <c r="AS9" s="158"/>
      <c r="AT9" s="158"/>
      <c r="AU9" s="158"/>
      <c r="AV9" s="179">
        <f t="shared" si="10"/>
        <v>0.61370000000000002</v>
      </c>
      <c r="AW9" s="164">
        <f>'CMF - Values'!$C$20</f>
        <v>0.95</v>
      </c>
      <c r="AX9" s="158">
        <f>'CMF - Values'!$C$6</f>
        <v>0.76</v>
      </c>
      <c r="AY9" s="158">
        <f>'CMF - Values'!$C$4</f>
        <v>0.85</v>
      </c>
      <c r="AZ9" s="158"/>
      <c r="BA9" s="158"/>
      <c r="BB9" s="158"/>
      <c r="BC9" s="158"/>
      <c r="BD9" s="158"/>
      <c r="BE9" s="158"/>
      <c r="BF9" s="158"/>
      <c r="BG9" s="179">
        <f t="shared" si="11"/>
        <v>0.61370000000000002</v>
      </c>
      <c r="BH9" s="158">
        <f>'CMF - Values'!$C$20</f>
        <v>0.95</v>
      </c>
      <c r="BI9" s="158">
        <f>'CMF - Values'!$C$6</f>
        <v>0.76</v>
      </c>
      <c r="BJ9" s="158">
        <f>'CMF - Values'!$C$4</f>
        <v>0.85</v>
      </c>
      <c r="BK9" s="158"/>
      <c r="BL9" s="158"/>
      <c r="BM9" s="158"/>
      <c r="BN9" s="158"/>
      <c r="BO9" s="158"/>
      <c r="BP9" s="158"/>
      <c r="BQ9" s="158"/>
      <c r="BR9" s="184">
        <f t="shared" si="12"/>
        <v>0.61370000000000002</v>
      </c>
      <c r="BS9" s="124">
        <f t="shared" si="5"/>
        <v>121.20037723999998</v>
      </c>
      <c r="BT9" s="124">
        <f t="shared" si="6"/>
        <v>7.8805199999999989</v>
      </c>
      <c r="BU9" s="124">
        <f t="shared" si="13"/>
        <v>1.3134199999999998</v>
      </c>
      <c r="BV9" s="124">
        <f t="shared" si="14"/>
        <v>0.38629999999999998</v>
      </c>
      <c r="BW9" s="143">
        <f t="shared" si="7"/>
        <v>0.15451999999999999</v>
      </c>
      <c r="BX9" s="194">
        <f>BS9*'KABCO Level - Values'!$B$4</f>
        <v>387841.20716799994</v>
      </c>
      <c r="BY9" s="194">
        <f>BT9*'KABCO Level - Values'!$B$5</f>
        <v>503565.22799999994</v>
      </c>
      <c r="BZ9" s="194">
        <f>BU9*'KABCO Level - Values'!$B$6</f>
        <v>164177.49999999997</v>
      </c>
      <c r="CA9" s="194">
        <f>BV9*'KABCO Level - Values'!$B$7</f>
        <v>177350.33</v>
      </c>
      <c r="CB9" s="197">
        <f>BW9*'KABCO Level - Values'!$B$8</f>
        <v>1483392</v>
      </c>
      <c r="CD9" s="302"/>
    </row>
    <row r="10" spans="1:82" s="123" customFormat="1" x14ac:dyDescent="0.25">
      <c r="A10" s="517"/>
      <c r="B10" s="514"/>
      <c r="C10" s="493" t="s">
        <v>193</v>
      </c>
      <c r="D10" s="493"/>
      <c r="E10" s="156" t="s">
        <v>137</v>
      </c>
      <c r="F10" s="310">
        <v>753.3799999999959</v>
      </c>
      <c r="G10" s="144">
        <v>81</v>
      </c>
      <c r="H10" s="144">
        <v>21</v>
      </c>
      <c r="I10" s="144">
        <v>4</v>
      </c>
      <c r="J10" s="145">
        <v>0</v>
      </c>
      <c r="K10" s="470">
        <f t="shared" si="0"/>
        <v>150.67599999999919</v>
      </c>
      <c r="L10" s="146">
        <f t="shared" si="1"/>
        <v>16.2</v>
      </c>
      <c r="M10" s="146">
        <f t="shared" si="2"/>
        <v>4.2</v>
      </c>
      <c r="N10" s="146">
        <f t="shared" si="3"/>
        <v>0.8</v>
      </c>
      <c r="O10" s="471">
        <f t="shared" si="4"/>
        <v>0</v>
      </c>
      <c r="P10" s="160">
        <f>'CMF - Values'!$C$20</f>
        <v>0.95</v>
      </c>
      <c r="Q10" s="160">
        <f>'CMF - Values'!$C$7</f>
        <v>0.57999999999999996</v>
      </c>
      <c r="R10" s="160">
        <f>'CMF - Values'!$C$5</f>
        <v>0.93</v>
      </c>
      <c r="S10" s="160">
        <f>'CMF - Values'!$C$9</f>
        <v>0.75</v>
      </c>
      <c r="T10" s="160"/>
      <c r="U10" s="160"/>
      <c r="V10" s="160"/>
      <c r="W10" s="160"/>
      <c r="X10" s="160"/>
      <c r="Y10" s="160"/>
      <c r="Z10" s="182">
        <f t="shared" si="8"/>
        <v>0.40454999999999997</v>
      </c>
      <c r="AA10" s="177">
        <f>'CMF - Values'!$C$20</f>
        <v>0.95</v>
      </c>
      <c r="AB10" s="160">
        <f>'CMF - Values'!$C$7</f>
        <v>0.57999999999999996</v>
      </c>
      <c r="AC10" s="160">
        <f>'CMF - Values'!$C$4</f>
        <v>0.85</v>
      </c>
      <c r="AD10" s="160">
        <f>'CMF - Values'!$C$9</f>
        <v>0.75</v>
      </c>
      <c r="AE10" s="160"/>
      <c r="AF10" s="160"/>
      <c r="AG10" s="160"/>
      <c r="AH10" s="160"/>
      <c r="AI10" s="160"/>
      <c r="AJ10" s="160"/>
      <c r="AK10" s="182">
        <f t="shared" si="9"/>
        <v>0.36974999999999997</v>
      </c>
      <c r="AL10" s="177">
        <f>'CMF - Values'!$C$20</f>
        <v>0.95</v>
      </c>
      <c r="AM10" s="160">
        <f>'CMF - Values'!$C$7</f>
        <v>0.57999999999999996</v>
      </c>
      <c r="AN10" s="160">
        <f>'CMF - Values'!$C$4</f>
        <v>0.85</v>
      </c>
      <c r="AO10" s="160">
        <f>'CMF - Values'!$C$9</f>
        <v>0.75</v>
      </c>
      <c r="AP10" s="160"/>
      <c r="AQ10" s="160"/>
      <c r="AR10" s="160"/>
      <c r="AS10" s="160"/>
      <c r="AT10" s="160"/>
      <c r="AU10" s="160"/>
      <c r="AV10" s="182">
        <f t="shared" si="10"/>
        <v>0.36974999999999997</v>
      </c>
      <c r="AW10" s="177">
        <f>'CMF - Values'!$C$20</f>
        <v>0.95</v>
      </c>
      <c r="AX10" s="160">
        <f>'CMF - Values'!$C$7</f>
        <v>0.57999999999999996</v>
      </c>
      <c r="AY10" s="160">
        <f>'CMF - Values'!$C$4</f>
        <v>0.85</v>
      </c>
      <c r="AZ10" s="160">
        <f>'CMF - Values'!$C$9</f>
        <v>0.75</v>
      </c>
      <c r="BA10" s="160"/>
      <c r="BB10" s="160"/>
      <c r="BC10" s="160"/>
      <c r="BD10" s="160"/>
      <c r="BE10" s="160"/>
      <c r="BF10" s="160"/>
      <c r="BG10" s="182">
        <f t="shared" si="11"/>
        <v>0.36974999999999997</v>
      </c>
      <c r="BH10" s="160">
        <f>'CMF - Values'!$C$20</f>
        <v>0.95</v>
      </c>
      <c r="BI10" s="160">
        <f>'CMF - Values'!$C$7</f>
        <v>0.57999999999999996</v>
      </c>
      <c r="BJ10" s="160">
        <f>'CMF - Values'!$C$4</f>
        <v>0.85</v>
      </c>
      <c r="BK10" s="160">
        <f>'CMF - Values'!$C$9</f>
        <v>0.75</v>
      </c>
      <c r="BL10" s="160"/>
      <c r="BM10" s="160"/>
      <c r="BN10" s="160"/>
      <c r="BO10" s="160"/>
      <c r="BP10" s="160"/>
      <c r="BQ10" s="160"/>
      <c r="BR10" s="187">
        <f t="shared" si="12"/>
        <v>0.36974999999999997</v>
      </c>
      <c r="BS10" s="189">
        <f t="shared" si="5"/>
        <v>89.720024199999528</v>
      </c>
      <c r="BT10" s="189">
        <f t="shared" si="6"/>
        <v>10.210049999999999</v>
      </c>
      <c r="BU10" s="189">
        <f t="shared" si="13"/>
        <v>2.6470500000000001</v>
      </c>
      <c r="BV10" s="189">
        <f t="shared" si="14"/>
        <v>0.50419999999999998</v>
      </c>
      <c r="BW10" s="139">
        <f t="shared" si="7"/>
        <v>0</v>
      </c>
      <c r="BX10" s="193">
        <f>BS10*'KABCO Level - Values'!$B$4</f>
        <v>287104.07743999851</v>
      </c>
      <c r="BY10" s="193">
        <f>BT10*'KABCO Level - Values'!$B$5</f>
        <v>652422.19499999995</v>
      </c>
      <c r="BZ10" s="193">
        <f>BU10*'KABCO Level - Values'!$B$6</f>
        <v>330881.25</v>
      </c>
      <c r="CA10" s="193">
        <f>BV10*'KABCO Level - Values'!$B$7</f>
        <v>231478.22</v>
      </c>
      <c r="CB10" s="196">
        <f>BW10*'KABCO Level - Values'!$B$8</f>
        <v>0</v>
      </c>
      <c r="CD10" s="302"/>
    </row>
    <row r="11" spans="1:82" s="123" customFormat="1" x14ac:dyDescent="0.25">
      <c r="A11" s="517"/>
      <c r="B11" s="514"/>
      <c r="C11" s="493"/>
      <c r="D11" s="493"/>
      <c r="E11" s="154" t="s">
        <v>139</v>
      </c>
      <c r="F11" s="306">
        <v>94.520000000000024</v>
      </c>
      <c r="G11" s="136">
        <v>15</v>
      </c>
      <c r="H11" s="136">
        <v>6</v>
      </c>
      <c r="I11" s="136">
        <v>0</v>
      </c>
      <c r="J11" s="137">
        <v>2</v>
      </c>
      <c r="K11" s="468">
        <f t="shared" si="0"/>
        <v>18.904000000000003</v>
      </c>
      <c r="L11" s="138">
        <f t="shared" si="1"/>
        <v>3</v>
      </c>
      <c r="M11" s="138">
        <f t="shared" si="2"/>
        <v>1.2</v>
      </c>
      <c r="N11" s="138">
        <f t="shared" si="3"/>
        <v>0</v>
      </c>
      <c r="O11" s="139">
        <f t="shared" si="4"/>
        <v>0.4</v>
      </c>
      <c r="P11" s="158">
        <f>'CMF - Values'!$C$20</f>
        <v>0.95</v>
      </c>
      <c r="Q11" s="158">
        <f>'CMF - Values'!$C$8</f>
        <v>0.7</v>
      </c>
      <c r="R11" s="158">
        <f>'CMF - Values'!$C$5</f>
        <v>0.93</v>
      </c>
      <c r="S11" s="158">
        <f>'CMF - Values'!$C$9</f>
        <v>0.75</v>
      </c>
      <c r="T11" s="158"/>
      <c r="U11" s="158"/>
      <c r="V11" s="158"/>
      <c r="W11" s="158"/>
      <c r="X11" s="158"/>
      <c r="Y11" s="158"/>
      <c r="Z11" s="179">
        <f t="shared" si="8"/>
        <v>0.48824999999999996</v>
      </c>
      <c r="AA11" s="164">
        <f>'CMF - Values'!$C$20</f>
        <v>0.95</v>
      </c>
      <c r="AB11" s="158">
        <f>'CMF - Values'!$C$8</f>
        <v>0.7</v>
      </c>
      <c r="AC11" s="158">
        <f>'CMF - Values'!$C$4</f>
        <v>0.85</v>
      </c>
      <c r="AD11" s="158">
        <f>'CMF - Values'!$C$9</f>
        <v>0.75</v>
      </c>
      <c r="AE11" s="158"/>
      <c r="AF11" s="158"/>
      <c r="AG11" s="158"/>
      <c r="AH11" s="158"/>
      <c r="AI11" s="158"/>
      <c r="AJ11" s="158"/>
      <c r="AK11" s="179">
        <f t="shared" si="9"/>
        <v>0.44624999999999992</v>
      </c>
      <c r="AL11" s="164">
        <f>'CMF - Values'!$C$20</f>
        <v>0.95</v>
      </c>
      <c r="AM11" s="158">
        <f>'CMF - Values'!$C$8</f>
        <v>0.7</v>
      </c>
      <c r="AN11" s="158">
        <f>'CMF - Values'!$C$4</f>
        <v>0.85</v>
      </c>
      <c r="AO11" s="158">
        <f>'CMF - Values'!$C$9</f>
        <v>0.75</v>
      </c>
      <c r="AP11" s="158"/>
      <c r="AQ11" s="158"/>
      <c r="AR11" s="158"/>
      <c r="AS11" s="158"/>
      <c r="AT11" s="158"/>
      <c r="AU11" s="158"/>
      <c r="AV11" s="179">
        <f t="shared" si="10"/>
        <v>0.44624999999999992</v>
      </c>
      <c r="AW11" s="164">
        <f>'CMF - Values'!$C$20</f>
        <v>0.95</v>
      </c>
      <c r="AX11" s="158">
        <f>'CMF - Values'!$C$8</f>
        <v>0.7</v>
      </c>
      <c r="AY11" s="158">
        <f>'CMF - Values'!$C$4</f>
        <v>0.85</v>
      </c>
      <c r="AZ11" s="158">
        <f>'CMF - Values'!$C$9</f>
        <v>0.75</v>
      </c>
      <c r="BA11" s="158"/>
      <c r="BB11" s="158"/>
      <c r="BC11" s="158"/>
      <c r="BD11" s="158"/>
      <c r="BE11" s="158"/>
      <c r="BF11" s="158"/>
      <c r="BG11" s="179">
        <f t="shared" si="11"/>
        <v>0.44624999999999992</v>
      </c>
      <c r="BH11" s="158">
        <f>'CMF - Values'!$C$20</f>
        <v>0.95</v>
      </c>
      <c r="BI11" s="158">
        <f>'CMF - Values'!$C$8</f>
        <v>0.7</v>
      </c>
      <c r="BJ11" s="158">
        <f>'CMF - Values'!$C$4</f>
        <v>0.85</v>
      </c>
      <c r="BK11" s="158">
        <f>'CMF - Values'!$C$9</f>
        <v>0.75</v>
      </c>
      <c r="BL11" s="158"/>
      <c r="BM11" s="158"/>
      <c r="BN11" s="158"/>
      <c r="BO11" s="158"/>
      <c r="BP11" s="158"/>
      <c r="BQ11" s="158"/>
      <c r="BR11" s="184">
        <f t="shared" si="12"/>
        <v>0.44624999999999992</v>
      </c>
      <c r="BS11" s="189">
        <f t="shared" si="5"/>
        <v>9.6741220000000023</v>
      </c>
      <c r="BT11" s="189">
        <f t="shared" si="6"/>
        <v>1.6612500000000003</v>
      </c>
      <c r="BU11" s="189">
        <f t="shared" si="13"/>
        <v>0.66450000000000009</v>
      </c>
      <c r="BV11" s="189">
        <f t="shared" si="14"/>
        <v>0</v>
      </c>
      <c r="BW11" s="139">
        <f t="shared" si="7"/>
        <v>0.22150000000000003</v>
      </c>
      <c r="BX11" s="193">
        <f>BS11*'KABCO Level - Values'!$B$4</f>
        <v>30957.190400000007</v>
      </c>
      <c r="BY11" s="193">
        <f>BT11*'KABCO Level - Values'!$B$5</f>
        <v>106153.87500000001</v>
      </c>
      <c r="BZ11" s="193">
        <f>BU11*'KABCO Level - Values'!$B$6</f>
        <v>83062.500000000015</v>
      </c>
      <c r="CA11" s="193">
        <f>BV11*'KABCO Level - Values'!$B$7</f>
        <v>0</v>
      </c>
      <c r="CB11" s="196">
        <f>BW11*'KABCO Level - Values'!$B$8</f>
        <v>2126400.0000000005</v>
      </c>
      <c r="CD11" s="302"/>
    </row>
    <row r="12" spans="1:82" s="123" customFormat="1" x14ac:dyDescent="0.25">
      <c r="A12" s="517"/>
      <c r="B12" s="514"/>
      <c r="C12" s="493"/>
      <c r="D12" s="493"/>
      <c r="E12" s="154" t="s">
        <v>201</v>
      </c>
      <c r="F12" s="306">
        <v>1.39</v>
      </c>
      <c r="G12" s="136">
        <v>1</v>
      </c>
      <c r="H12" s="136">
        <v>0</v>
      </c>
      <c r="I12" s="136">
        <v>0</v>
      </c>
      <c r="J12" s="137">
        <v>0</v>
      </c>
      <c r="K12" s="468">
        <f t="shared" si="0"/>
        <v>0.27799999999999997</v>
      </c>
      <c r="L12" s="138">
        <f t="shared" si="1"/>
        <v>0.2</v>
      </c>
      <c r="M12" s="138">
        <f t="shared" si="2"/>
        <v>0</v>
      </c>
      <c r="N12" s="138">
        <f t="shared" si="3"/>
        <v>0</v>
      </c>
      <c r="O12" s="139">
        <f t="shared" si="4"/>
        <v>0</v>
      </c>
      <c r="P12" s="158">
        <f>'CMF - Values'!$C$20</f>
        <v>0.95</v>
      </c>
      <c r="Q12" s="158">
        <f>'CMF - Values'!$C$6</f>
        <v>0.76</v>
      </c>
      <c r="R12" s="158">
        <f>'CMF - Values'!$C$5</f>
        <v>0.93</v>
      </c>
      <c r="S12" s="158">
        <f>'CMF - Values'!$C$9</f>
        <v>0.75</v>
      </c>
      <c r="T12" s="158">
        <f>'CMF - Values'!$C$13</f>
        <v>0.1</v>
      </c>
      <c r="U12" s="158"/>
      <c r="V12" s="158"/>
      <c r="W12" s="158"/>
      <c r="X12" s="158"/>
      <c r="Y12" s="158"/>
      <c r="Z12" s="179">
        <f t="shared" si="8"/>
        <v>5.7000000000000009E-2</v>
      </c>
      <c r="AA12" s="164">
        <f>'CMF - Values'!$C$20</f>
        <v>0.95</v>
      </c>
      <c r="AB12" s="158">
        <f>'CMF - Values'!$C$6</f>
        <v>0.76</v>
      </c>
      <c r="AC12" s="158">
        <f>'CMF - Values'!$C$4</f>
        <v>0.85</v>
      </c>
      <c r="AD12" s="158">
        <f>'CMF - Values'!$C$9</f>
        <v>0.75</v>
      </c>
      <c r="AE12" s="158">
        <f>'CMF - Values'!$C$13</f>
        <v>0.1</v>
      </c>
      <c r="AF12" s="158"/>
      <c r="AG12" s="158"/>
      <c r="AH12" s="158"/>
      <c r="AI12" s="158"/>
      <c r="AJ12" s="158"/>
      <c r="AK12" s="179">
        <f t="shared" si="9"/>
        <v>5.7000000000000009E-2</v>
      </c>
      <c r="AL12" s="164">
        <f>'CMF - Values'!$C$20</f>
        <v>0.95</v>
      </c>
      <c r="AM12" s="158">
        <f>'CMF - Values'!$C$6</f>
        <v>0.76</v>
      </c>
      <c r="AN12" s="158">
        <f>'CMF - Values'!$C$4</f>
        <v>0.85</v>
      </c>
      <c r="AO12" s="158">
        <f>'CMF - Values'!$C$9</f>
        <v>0.75</v>
      </c>
      <c r="AP12" s="158">
        <f>'CMF - Values'!$C$13</f>
        <v>0.1</v>
      </c>
      <c r="AQ12" s="158"/>
      <c r="AR12" s="158"/>
      <c r="AS12" s="158"/>
      <c r="AT12" s="158"/>
      <c r="AU12" s="158"/>
      <c r="AV12" s="179">
        <f t="shared" si="10"/>
        <v>5.7000000000000009E-2</v>
      </c>
      <c r="AW12" s="164">
        <f>'CMF - Values'!$C$20</f>
        <v>0.95</v>
      </c>
      <c r="AX12" s="158">
        <f>'CMF - Values'!$C$6</f>
        <v>0.76</v>
      </c>
      <c r="AY12" s="158">
        <f>'CMF - Values'!$C$4</f>
        <v>0.85</v>
      </c>
      <c r="AZ12" s="158">
        <f>'CMF - Values'!$C$9</f>
        <v>0.75</v>
      </c>
      <c r="BA12" s="158">
        <f>'CMF - Values'!$C$13</f>
        <v>0.1</v>
      </c>
      <c r="BB12" s="158"/>
      <c r="BC12" s="158"/>
      <c r="BD12" s="158"/>
      <c r="BE12" s="158"/>
      <c r="BF12" s="158"/>
      <c r="BG12" s="179">
        <f t="shared" si="11"/>
        <v>5.7000000000000009E-2</v>
      </c>
      <c r="BH12" s="158">
        <f>'CMF - Values'!$C$20</f>
        <v>0.95</v>
      </c>
      <c r="BI12" s="158">
        <f>'CMF - Values'!$C$6</f>
        <v>0.76</v>
      </c>
      <c r="BJ12" s="158">
        <f>'CMF - Values'!$C$4</f>
        <v>0.85</v>
      </c>
      <c r="BK12" s="158">
        <f>'CMF - Values'!$C$9</f>
        <v>0.75</v>
      </c>
      <c r="BL12" s="158">
        <f>'CMF - Values'!$C$13</f>
        <v>0.1</v>
      </c>
      <c r="BM12" s="158"/>
      <c r="BN12" s="158"/>
      <c r="BO12" s="158"/>
      <c r="BP12" s="158"/>
      <c r="BQ12" s="158"/>
      <c r="BR12" s="184">
        <f t="shared" si="12"/>
        <v>5.7000000000000009E-2</v>
      </c>
      <c r="BS12" s="189">
        <f t="shared" si="5"/>
        <v>0.26215399999999994</v>
      </c>
      <c r="BT12" s="189">
        <f t="shared" si="6"/>
        <v>0.18859999999999999</v>
      </c>
      <c r="BU12" s="189">
        <f t="shared" si="13"/>
        <v>0</v>
      </c>
      <c r="BV12" s="189">
        <f t="shared" si="14"/>
        <v>0</v>
      </c>
      <c r="BW12" s="139">
        <f t="shared" si="7"/>
        <v>0</v>
      </c>
      <c r="BX12" s="193">
        <f>BS12*'KABCO Level - Values'!$B$4</f>
        <v>838.89279999999985</v>
      </c>
      <c r="BY12" s="193">
        <f>BT12*'KABCO Level - Values'!$B$5</f>
        <v>12051.539999999999</v>
      </c>
      <c r="BZ12" s="193">
        <f>BU12*'KABCO Level - Values'!$B$6</f>
        <v>0</v>
      </c>
      <c r="CA12" s="193">
        <f>BV12*'KABCO Level - Values'!$B$7</f>
        <v>0</v>
      </c>
      <c r="CB12" s="196">
        <f>BW12*'KABCO Level - Values'!$B$8</f>
        <v>0</v>
      </c>
      <c r="CD12" s="302"/>
    </row>
    <row r="13" spans="1:82" s="123" customFormat="1" ht="15.75" thickBot="1" x14ac:dyDescent="0.3">
      <c r="A13" s="517"/>
      <c r="B13" s="515"/>
      <c r="C13" s="523"/>
      <c r="D13" s="523"/>
      <c r="E13" s="157" t="s">
        <v>202</v>
      </c>
      <c r="F13" s="311">
        <v>571.29</v>
      </c>
      <c r="G13" s="147">
        <v>25</v>
      </c>
      <c r="H13" s="147">
        <v>9</v>
      </c>
      <c r="I13" s="147">
        <v>2</v>
      </c>
      <c r="J13" s="148">
        <v>1</v>
      </c>
      <c r="K13" s="472">
        <f t="shared" si="0"/>
        <v>114.258</v>
      </c>
      <c r="L13" s="149">
        <f t="shared" si="1"/>
        <v>5</v>
      </c>
      <c r="M13" s="149">
        <f t="shared" si="2"/>
        <v>1.8</v>
      </c>
      <c r="N13" s="149">
        <f t="shared" si="3"/>
        <v>0.4</v>
      </c>
      <c r="O13" s="150">
        <f t="shared" si="4"/>
        <v>0.2</v>
      </c>
      <c r="P13" s="161">
        <f>'CMF - Values'!$C$20</f>
        <v>0.95</v>
      </c>
      <c r="Q13" s="161">
        <f>'CMF - Values'!$C$6</f>
        <v>0.76</v>
      </c>
      <c r="R13" s="161">
        <f>'CMF - Values'!$C$5</f>
        <v>0.93</v>
      </c>
      <c r="S13" s="161">
        <f>'CMF - Values'!$C$9</f>
        <v>0.75</v>
      </c>
      <c r="T13" s="161"/>
      <c r="U13" s="161"/>
      <c r="V13" s="161"/>
      <c r="W13" s="161"/>
      <c r="X13" s="161"/>
      <c r="Y13" s="161"/>
      <c r="Z13" s="181">
        <f t="shared" si="8"/>
        <v>0.53010000000000013</v>
      </c>
      <c r="AA13" s="165">
        <f>'CMF - Values'!$C$20</f>
        <v>0.95</v>
      </c>
      <c r="AB13" s="161">
        <f>'CMF - Values'!$C$6</f>
        <v>0.76</v>
      </c>
      <c r="AC13" s="161">
        <f>'CMF - Values'!$C$4</f>
        <v>0.85</v>
      </c>
      <c r="AD13" s="161">
        <f>'CMF - Values'!$C$9</f>
        <v>0.75</v>
      </c>
      <c r="AE13" s="161"/>
      <c r="AF13" s="161"/>
      <c r="AG13" s="161"/>
      <c r="AH13" s="161"/>
      <c r="AI13" s="161"/>
      <c r="AJ13" s="161"/>
      <c r="AK13" s="181">
        <f t="shared" si="9"/>
        <v>0.48450000000000004</v>
      </c>
      <c r="AL13" s="165">
        <f>'CMF - Values'!$C$20</f>
        <v>0.95</v>
      </c>
      <c r="AM13" s="161">
        <f>'CMF - Values'!$C$6</f>
        <v>0.76</v>
      </c>
      <c r="AN13" s="161">
        <f>'CMF - Values'!$C$4</f>
        <v>0.85</v>
      </c>
      <c r="AO13" s="161">
        <f>'CMF - Values'!$C$9</f>
        <v>0.75</v>
      </c>
      <c r="AP13" s="161"/>
      <c r="AQ13" s="161"/>
      <c r="AR13" s="161"/>
      <c r="AS13" s="161"/>
      <c r="AT13" s="161"/>
      <c r="AU13" s="161"/>
      <c r="AV13" s="181">
        <f t="shared" si="10"/>
        <v>0.48450000000000004</v>
      </c>
      <c r="AW13" s="165">
        <f>'CMF - Values'!$C$20</f>
        <v>0.95</v>
      </c>
      <c r="AX13" s="161">
        <f>'CMF - Values'!$C$6</f>
        <v>0.76</v>
      </c>
      <c r="AY13" s="161">
        <f>'CMF - Values'!$C$4</f>
        <v>0.85</v>
      </c>
      <c r="AZ13" s="161">
        <f>'CMF - Values'!$C$9</f>
        <v>0.75</v>
      </c>
      <c r="BA13" s="161"/>
      <c r="BB13" s="161"/>
      <c r="BC13" s="161"/>
      <c r="BD13" s="161"/>
      <c r="BE13" s="161"/>
      <c r="BF13" s="161"/>
      <c r="BG13" s="181">
        <f t="shared" si="11"/>
        <v>0.48450000000000004</v>
      </c>
      <c r="BH13" s="161">
        <f>'CMF - Values'!$C$20</f>
        <v>0.95</v>
      </c>
      <c r="BI13" s="161">
        <f>'CMF - Values'!$C$6</f>
        <v>0.76</v>
      </c>
      <c r="BJ13" s="161">
        <f>'CMF - Values'!$C$4</f>
        <v>0.85</v>
      </c>
      <c r="BK13" s="161">
        <f>'CMF - Values'!$C$9</f>
        <v>0.75</v>
      </c>
      <c r="BL13" s="161"/>
      <c r="BM13" s="161"/>
      <c r="BN13" s="161"/>
      <c r="BO13" s="161"/>
      <c r="BP13" s="161"/>
      <c r="BQ13" s="161"/>
      <c r="BR13" s="185">
        <f t="shared" si="12"/>
        <v>0.48450000000000004</v>
      </c>
      <c r="BS13" s="189">
        <f t="shared" si="5"/>
        <v>53.689834199999986</v>
      </c>
      <c r="BT13" s="189">
        <f t="shared" si="6"/>
        <v>2.5774999999999997</v>
      </c>
      <c r="BU13" s="189">
        <f t="shared" si="13"/>
        <v>0.92789999999999995</v>
      </c>
      <c r="BV13" s="189">
        <f t="shared" si="14"/>
        <v>0.20619999999999999</v>
      </c>
      <c r="BW13" s="139">
        <f t="shared" si="7"/>
        <v>0.1031</v>
      </c>
      <c r="BX13" s="193">
        <f>BS13*'KABCO Level - Values'!$B$4</f>
        <v>171807.46943999996</v>
      </c>
      <c r="BY13" s="193">
        <f>BT13*'KABCO Level - Values'!$B$5</f>
        <v>164702.24999999997</v>
      </c>
      <c r="BZ13" s="193">
        <f>BU13*'KABCO Level - Values'!$B$6</f>
        <v>115987.5</v>
      </c>
      <c r="CA13" s="193">
        <f>BV13*'KABCO Level - Values'!$B$7</f>
        <v>94666.42</v>
      </c>
      <c r="CB13" s="196">
        <f>BW13*'KABCO Level - Values'!$B$8</f>
        <v>989760</v>
      </c>
      <c r="CD13" s="302"/>
    </row>
    <row r="14" spans="1:82" s="123" customFormat="1" x14ac:dyDescent="0.25">
      <c r="A14" s="517"/>
      <c r="B14" s="510" t="s">
        <v>159</v>
      </c>
      <c r="C14" s="519" t="s">
        <v>200</v>
      </c>
      <c r="D14" s="524" t="s">
        <v>151</v>
      </c>
      <c r="E14" s="154" t="s">
        <v>204</v>
      </c>
      <c r="F14" s="113">
        <v>0</v>
      </c>
      <c r="G14" s="113">
        <v>4</v>
      </c>
      <c r="H14" s="113">
        <v>0</v>
      </c>
      <c r="I14" s="113">
        <v>0</v>
      </c>
      <c r="J14" s="118">
        <v>0</v>
      </c>
      <c r="K14" s="468">
        <f t="shared" si="0"/>
        <v>0</v>
      </c>
      <c r="L14" s="138">
        <f t="shared" si="1"/>
        <v>0.8</v>
      </c>
      <c r="M14" s="138">
        <f t="shared" si="2"/>
        <v>0</v>
      </c>
      <c r="N14" s="138">
        <f t="shared" si="3"/>
        <v>0</v>
      </c>
      <c r="O14" s="139">
        <f t="shared" si="4"/>
        <v>0</v>
      </c>
      <c r="P14" s="162">
        <f>'CMF - Values'!$C$20</f>
        <v>0.95</v>
      </c>
      <c r="Q14" s="162">
        <f>'CMF - Values'!$C$6</f>
        <v>0.76</v>
      </c>
      <c r="R14" s="162">
        <f>'CMF - Values'!$C$5</f>
        <v>0.93</v>
      </c>
      <c r="S14" s="162">
        <f>'CMF - Values'!$C$16</f>
        <v>0.9</v>
      </c>
      <c r="T14" s="162">
        <f>'CMF - Values'!$C$12</f>
        <v>0.57999999999999996</v>
      </c>
      <c r="U14" s="162">
        <f>'CMF - Values'!$C$10</f>
        <v>0.85</v>
      </c>
      <c r="V14" s="162">
        <f>'CMF - Values'!$C$18</f>
        <v>0.7</v>
      </c>
      <c r="W14" s="162">
        <f>'CMF - Values'!$C$15</f>
        <v>0.6</v>
      </c>
      <c r="X14" s="162">
        <f>'CMF - Values'!$C$17</f>
        <v>0.75</v>
      </c>
      <c r="Y14" s="162"/>
      <c r="Z14" s="179">
        <f t="shared" si="8"/>
        <v>0.24359999999999996</v>
      </c>
      <c r="AA14" s="174">
        <f>'CMF - Values'!$C$20</f>
        <v>0.95</v>
      </c>
      <c r="AB14" s="162">
        <f>'CMF - Values'!$C$6</f>
        <v>0.76</v>
      </c>
      <c r="AC14" s="162">
        <f>'CMF - Values'!$C$4</f>
        <v>0.85</v>
      </c>
      <c r="AD14" s="162">
        <f>'CMF - Values'!$C$16</f>
        <v>0.9</v>
      </c>
      <c r="AE14" s="162">
        <f>'CMF - Values'!$C$12</f>
        <v>0.57999999999999996</v>
      </c>
      <c r="AF14" s="162">
        <f>'CMF - Values'!$C$10</f>
        <v>0.85</v>
      </c>
      <c r="AG14" s="162">
        <f>'CMF - Values'!$C$18</f>
        <v>0.7</v>
      </c>
      <c r="AH14" s="162">
        <f>'CMF - Values'!$C$15</f>
        <v>0.6</v>
      </c>
      <c r="AI14" s="162">
        <f>'CMF - Values'!$C$17</f>
        <v>0.75</v>
      </c>
      <c r="AJ14" s="162"/>
      <c r="AK14" s="178">
        <f t="shared" si="9"/>
        <v>0.24359999999999996</v>
      </c>
      <c r="AL14" s="174">
        <f>'CMF - Values'!$C$20</f>
        <v>0.95</v>
      </c>
      <c r="AM14" s="162">
        <f>'CMF - Values'!$C$6</f>
        <v>0.76</v>
      </c>
      <c r="AN14" s="162">
        <f>'CMF - Values'!$C$4</f>
        <v>0.85</v>
      </c>
      <c r="AO14" s="162">
        <f>'CMF - Values'!$C$16</f>
        <v>0.9</v>
      </c>
      <c r="AP14" s="162">
        <f>'CMF - Values'!$C$12</f>
        <v>0.57999999999999996</v>
      </c>
      <c r="AQ14" s="162">
        <f>'CMF - Values'!$C$10</f>
        <v>0.85</v>
      </c>
      <c r="AR14" s="162">
        <f>'CMF - Values'!$C$18</f>
        <v>0.7</v>
      </c>
      <c r="AS14" s="162">
        <f>'CMF - Values'!$C$15</f>
        <v>0.6</v>
      </c>
      <c r="AT14" s="162">
        <f>'CMF - Values'!$C$17</f>
        <v>0.75</v>
      </c>
      <c r="AU14" s="162"/>
      <c r="AV14" s="178">
        <f t="shared" si="10"/>
        <v>0.24359999999999996</v>
      </c>
      <c r="AW14" s="174">
        <f>'CMF - Values'!$C$20</f>
        <v>0.95</v>
      </c>
      <c r="AX14" s="162">
        <f>'CMF - Values'!$C$6</f>
        <v>0.76</v>
      </c>
      <c r="AY14" s="162">
        <f>'CMF - Values'!$C$4</f>
        <v>0.85</v>
      </c>
      <c r="AZ14" s="162">
        <f>'CMF - Values'!$C$16</f>
        <v>0.9</v>
      </c>
      <c r="BA14" s="162">
        <f>'CMF - Values'!$C$12</f>
        <v>0.57999999999999996</v>
      </c>
      <c r="BB14" s="162">
        <f>'CMF - Values'!$C$10</f>
        <v>0.85</v>
      </c>
      <c r="BC14" s="162">
        <f>'CMF - Values'!$C$18</f>
        <v>0.7</v>
      </c>
      <c r="BD14" s="162">
        <f>'CMF - Values'!$C$15</f>
        <v>0.6</v>
      </c>
      <c r="BE14" s="162">
        <f>'CMF - Values'!$C$17</f>
        <v>0.75</v>
      </c>
      <c r="BF14" s="162"/>
      <c r="BG14" s="178">
        <f t="shared" si="11"/>
        <v>0.24359999999999996</v>
      </c>
      <c r="BH14" s="162">
        <f>'CMF - Values'!$C$20</f>
        <v>0.95</v>
      </c>
      <c r="BI14" s="162">
        <f>'CMF - Values'!$C$6</f>
        <v>0.76</v>
      </c>
      <c r="BJ14" s="162">
        <f>'CMF - Values'!$C$4</f>
        <v>0.85</v>
      </c>
      <c r="BK14" s="162">
        <f>'CMF - Values'!$C$16</f>
        <v>0.9</v>
      </c>
      <c r="BL14" s="162">
        <f>'CMF - Values'!$C$12</f>
        <v>0.57999999999999996</v>
      </c>
      <c r="BM14" s="162">
        <f>'CMF - Values'!$C$10</f>
        <v>0.85</v>
      </c>
      <c r="BN14" s="162">
        <f>'CMF - Values'!$C$18</f>
        <v>0.7</v>
      </c>
      <c r="BO14" s="162">
        <f>'CMF - Values'!$C$15</f>
        <v>0.6</v>
      </c>
      <c r="BP14" s="162">
        <f>'CMF - Values'!$C$17</f>
        <v>0.75</v>
      </c>
      <c r="BQ14" s="162"/>
      <c r="BR14" s="183">
        <f t="shared" si="12"/>
        <v>0.24359999999999996</v>
      </c>
      <c r="BS14" s="188">
        <f t="shared" si="5"/>
        <v>0</v>
      </c>
      <c r="BT14" s="188">
        <f t="shared" si="6"/>
        <v>0.6051200000000001</v>
      </c>
      <c r="BU14" s="188">
        <f t="shared" si="13"/>
        <v>0</v>
      </c>
      <c r="BV14" s="188">
        <f t="shared" si="14"/>
        <v>0</v>
      </c>
      <c r="BW14" s="152">
        <f t="shared" si="7"/>
        <v>0</v>
      </c>
      <c r="BX14" s="192">
        <f>BS14*'KABCO Level - Values'!$B$4</f>
        <v>0</v>
      </c>
      <c r="BY14" s="192">
        <f>BT14*'KABCO Level - Values'!$B$5</f>
        <v>38667.168000000005</v>
      </c>
      <c r="BZ14" s="192">
        <f>BU14*'KABCO Level - Values'!$B$6</f>
        <v>0</v>
      </c>
      <c r="CA14" s="192">
        <f>BV14*'KABCO Level - Values'!$B$7</f>
        <v>0</v>
      </c>
      <c r="CB14" s="198">
        <f>BW14*'KABCO Level - Values'!$B$8</f>
        <v>0</v>
      </c>
      <c r="CD14" s="302"/>
    </row>
    <row r="15" spans="1:82" s="123" customFormat="1" x14ac:dyDescent="0.25">
      <c r="A15" s="517"/>
      <c r="B15" s="511"/>
      <c r="C15" s="520"/>
      <c r="D15" s="493"/>
      <c r="E15" s="154" t="s">
        <v>174</v>
      </c>
      <c r="F15" s="304">
        <v>1.39</v>
      </c>
      <c r="G15" s="113">
        <v>1</v>
      </c>
      <c r="H15" s="113">
        <v>0</v>
      </c>
      <c r="I15" s="113">
        <v>0</v>
      </c>
      <c r="J15" s="118">
        <v>0</v>
      </c>
      <c r="K15" s="468">
        <f t="shared" si="0"/>
        <v>0.27799999999999997</v>
      </c>
      <c r="L15" s="138">
        <f t="shared" si="1"/>
        <v>0.2</v>
      </c>
      <c r="M15" s="138">
        <f t="shared" si="2"/>
        <v>0</v>
      </c>
      <c r="N15" s="138">
        <f t="shared" si="3"/>
        <v>0</v>
      </c>
      <c r="O15" s="139">
        <f t="shared" si="4"/>
        <v>0</v>
      </c>
      <c r="P15" s="158">
        <f>'CMF - Values'!$C$20</f>
        <v>0.95</v>
      </c>
      <c r="Q15" s="158">
        <f>'CMF - Values'!$C$6</f>
        <v>0.76</v>
      </c>
      <c r="R15" s="158">
        <f>'CMF - Values'!$C$5</f>
        <v>0.93</v>
      </c>
      <c r="S15" s="158">
        <f>'CMF - Values'!$C$16</f>
        <v>0.9</v>
      </c>
      <c r="T15" s="158">
        <f>'CMF - Values'!$C$12</f>
        <v>0.57999999999999996</v>
      </c>
      <c r="U15" s="158">
        <f>'CMF - Values'!$C$10</f>
        <v>0.85</v>
      </c>
      <c r="V15" s="158">
        <f>'CMF - Values'!$C$18</f>
        <v>0.7</v>
      </c>
      <c r="W15" s="158">
        <f>'CMF - Values'!$C$14</f>
        <v>0.88249690258459546</v>
      </c>
      <c r="X15" s="158"/>
      <c r="Y15" s="158"/>
      <c r="Z15" s="179">
        <f t="shared" si="8"/>
        <v>0.30856</v>
      </c>
      <c r="AA15" s="164">
        <f>'CMF - Values'!$C$20</f>
        <v>0.95</v>
      </c>
      <c r="AB15" s="158">
        <f>'CMF - Values'!$C$6</f>
        <v>0.76</v>
      </c>
      <c r="AC15" s="158">
        <f>'CMF - Values'!$C$4</f>
        <v>0.85</v>
      </c>
      <c r="AD15" s="158">
        <f>'CMF - Values'!$C$16</f>
        <v>0.9</v>
      </c>
      <c r="AE15" s="158">
        <f>'CMF - Values'!$C$12</f>
        <v>0.57999999999999996</v>
      </c>
      <c r="AF15" s="158">
        <f>'CMF - Values'!$C$10</f>
        <v>0.85</v>
      </c>
      <c r="AG15" s="158">
        <f>'CMF - Values'!$C$18</f>
        <v>0.7</v>
      </c>
      <c r="AH15" s="158">
        <f>'CMF - Values'!$C$14</f>
        <v>0.88249690258459546</v>
      </c>
      <c r="AI15" s="158"/>
      <c r="AJ15" s="158"/>
      <c r="AK15" s="179">
        <f t="shared" si="9"/>
        <v>0.30856</v>
      </c>
      <c r="AL15" s="164">
        <f>'CMF - Values'!$C$20</f>
        <v>0.95</v>
      </c>
      <c r="AM15" s="158">
        <f>'CMF - Values'!$C$6</f>
        <v>0.76</v>
      </c>
      <c r="AN15" s="158">
        <f>'CMF - Values'!$C$4</f>
        <v>0.85</v>
      </c>
      <c r="AO15" s="158">
        <f>'CMF - Values'!$C$16</f>
        <v>0.9</v>
      </c>
      <c r="AP15" s="158">
        <f>'CMF - Values'!$C$12</f>
        <v>0.57999999999999996</v>
      </c>
      <c r="AQ15" s="158">
        <f>'CMF - Values'!$C$10</f>
        <v>0.85</v>
      </c>
      <c r="AR15" s="158">
        <f>'CMF - Values'!$C$18</f>
        <v>0.7</v>
      </c>
      <c r="AS15" s="158">
        <f>'CMF - Values'!$C$14</f>
        <v>0.88249690258459546</v>
      </c>
      <c r="AT15" s="158"/>
      <c r="AU15" s="158"/>
      <c r="AV15" s="179">
        <f t="shared" si="10"/>
        <v>0.30856</v>
      </c>
      <c r="AW15" s="164">
        <f>'CMF - Values'!$C$20</f>
        <v>0.95</v>
      </c>
      <c r="AX15" s="158">
        <f>'CMF - Values'!$C$6</f>
        <v>0.76</v>
      </c>
      <c r="AY15" s="158">
        <f>'CMF - Values'!$C$4</f>
        <v>0.85</v>
      </c>
      <c r="AZ15" s="158">
        <f>'CMF - Values'!$C$16</f>
        <v>0.9</v>
      </c>
      <c r="BA15" s="158">
        <f>'CMF - Values'!$C$12</f>
        <v>0.57999999999999996</v>
      </c>
      <c r="BB15" s="158">
        <f>'CMF - Values'!$C$10</f>
        <v>0.85</v>
      </c>
      <c r="BC15" s="158">
        <f>'CMF - Values'!$C$18</f>
        <v>0.7</v>
      </c>
      <c r="BD15" s="158">
        <f>'CMF - Values'!$C$14</f>
        <v>0.88249690258459546</v>
      </c>
      <c r="BE15" s="158"/>
      <c r="BF15" s="158"/>
      <c r="BG15" s="179">
        <f t="shared" si="11"/>
        <v>0.30856</v>
      </c>
      <c r="BH15" s="158">
        <f>'CMF - Values'!$C$20</f>
        <v>0.95</v>
      </c>
      <c r="BI15" s="158">
        <f>'CMF - Values'!$C$6</f>
        <v>0.76</v>
      </c>
      <c r="BJ15" s="158">
        <f>'CMF - Values'!$C$4</f>
        <v>0.85</v>
      </c>
      <c r="BK15" s="158">
        <f>'CMF - Values'!$C$16</f>
        <v>0.9</v>
      </c>
      <c r="BL15" s="158">
        <f>'CMF - Values'!$C$12</f>
        <v>0.57999999999999996</v>
      </c>
      <c r="BM15" s="158">
        <f>'CMF - Values'!$C$10</f>
        <v>0.85</v>
      </c>
      <c r="BN15" s="158">
        <f>'CMF - Values'!$C$18</f>
        <v>0.7</v>
      </c>
      <c r="BO15" s="158">
        <f>'CMF - Values'!$C$14</f>
        <v>0.88249690258459546</v>
      </c>
      <c r="BP15" s="158"/>
      <c r="BQ15" s="158"/>
      <c r="BR15" s="184">
        <f t="shared" si="12"/>
        <v>0.30856</v>
      </c>
      <c r="BS15" s="189">
        <f t="shared" si="5"/>
        <v>0.19222032</v>
      </c>
      <c r="BT15" s="189">
        <f t="shared" si="6"/>
        <v>0.13828800000000002</v>
      </c>
      <c r="BU15" s="189">
        <f t="shared" si="13"/>
        <v>0</v>
      </c>
      <c r="BV15" s="189">
        <f t="shared" si="14"/>
        <v>0</v>
      </c>
      <c r="BW15" s="139">
        <f t="shared" si="7"/>
        <v>0</v>
      </c>
      <c r="BX15" s="193">
        <f>BS15*'KABCO Level - Values'!$B$4</f>
        <v>615.10502399999996</v>
      </c>
      <c r="BY15" s="193">
        <f>BT15*'KABCO Level - Values'!$B$5</f>
        <v>8836.6032000000014</v>
      </c>
      <c r="BZ15" s="193">
        <f>BU15*'KABCO Level - Values'!$B$6</f>
        <v>0</v>
      </c>
      <c r="CA15" s="193">
        <f>BV15*'KABCO Level - Values'!$B$7</f>
        <v>0</v>
      </c>
      <c r="CB15" s="196">
        <f>BW15*'KABCO Level - Values'!$B$8</f>
        <v>0</v>
      </c>
      <c r="CD15" s="302"/>
    </row>
    <row r="16" spans="1:82" s="123" customFormat="1" x14ac:dyDescent="0.25">
      <c r="A16" s="517"/>
      <c r="B16" s="511"/>
      <c r="C16" s="520"/>
      <c r="D16" s="493"/>
      <c r="E16" s="155" t="s">
        <v>202</v>
      </c>
      <c r="F16" s="308">
        <v>439.24</v>
      </c>
      <c r="G16" s="116">
        <v>125</v>
      </c>
      <c r="H16" s="116">
        <v>28</v>
      </c>
      <c r="I16" s="113">
        <v>12</v>
      </c>
      <c r="J16" s="118">
        <v>1</v>
      </c>
      <c r="K16" s="468">
        <f t="shared" si="0"/>
        <v>87.847999999999999</v>
      </c>
      <c r="L16" s="138">
        <f t="shared" si="1"/>
        <v>25</v>
      </c>
      <c r="M16" s="138">
        <f t="shared" si="2"/>
        <v>5.6</v>
      </c>
      <c r="N16" s="138">
        <f t="shared" si="3"/>
        <v>2.4</v>
      </c>
      <c r="O16" s="139">
        <f t="shared" si="4"/>
        <v>0.2</v>
      </c>
      <c r="P16" s="158">
        <f>'CMF - Values'!$C$20</f>
        <v>0.95</v>
      </c>
      <c r="Q16" s="158">
        <f>'CMF - Values'!$C$6</f>
        <v>0.76</v>
      </c>
      <c r="R16" s="158">
        <f>'CMF - Values'!$C$5</f>
        <v>0.93</v>
      </c>
      <c r="S16" s="158">
        <f>'CMF - Values'!$C$16</f>
        <v>0.9</v>
      </c>
      <c r="T16" s="158">
        <f>'CMF - Values'!$C$12</f>
        <v>0.57999999999999996</v>
      </c>
      <c r="U16" s="158">
        <f>'CMF - Values'!$C$10</f>
        <v>0.85</v>
      </c>
      <c r="V16" s="158">
        <f>'CMF - Values'!$C$18</f>
        <v>0.7</v>
      </c>
      <c r="W16" s="158">
        <f>'CMF - Values'!$C$15</f>
        <v>0.6</v>
      </c>
      <c r="X16" s="158">
        <f>'CMF - Values'!$C$17</f>
        <v>0.75</v>
      </c>
      <c r="Y16" s="158"/>
      <c r="Z16" s="179">
        <f t="shared" si="8"/>
        <v>0.24359999999999996</v>
      </c>
      <c r="AA16" s="164">
        <f>'CMF - Values'!$C$20</f>
        <v>0.95</v>
      </c>
      <c r="AB16" s="158">
        <f>'CMF - Values'!$C$6</f>
        <v>0.76</v>
      </c>
      <c r="AC16" s="158">
        <f>'CMF - Values'!$C$4</f>
        <v>0.85</v>
      </c>
      <c r="AD16" s="158">
        <f>'CMF - Values'!$C$16</f>
        <v>0.9</v>
      </c>
      <c r="AE16" s="158">
        <f>'CMF - Values'!$C$12</f>
        <v>0.57999999999999996</v>
      </c>
      <c r="AF16" s="158">
        <f>'CMF - Values'!$C$10</f>
        <v>0.85</v>
      </c>
      <c r="AG16" s="158">
        <f>'CMF - Values'!$C$18</f>
        <v>0.7</v>
      </c>
      <c r="AH16" s="158">
        <f>'CMF - Values'!$C$15</f>
        <v>0.6</v>
      </c>
      <c r="AI16" s="158">
        <f>'CMF - Values'!$C$17</f>
        <v>0.75</v>
      </c>
      <c r="AJ16" s="158"/>
      <c r="AK16" s="179">
        <f t="shared" si="9"/>
        <v>0.24359999999999996</v>
      </c>
      <c r="AL16" s="164">
        <f>'CMF - Values'!$C$20</f>
        <v>0.95</v>
      </c>
      <c r="AM16" s="158">
        <f>'CMF - Values'!$C$6</f>
        <v>0.76</v>
      </c>
      <c r="AN16" s="158">
        <f>'CMF - Values'!$C$4</f>
        <v>0.85</v>
      </c>
      <c r="AO16" s="158">
        <v>1</v>
      </c>
      <c r="AP16" s="158">
        <f>'CMF - Values'!$C$12</f>
        <v>0.57999999999999996</v>
      </c>
      <c r="AQ16" s="158">
        <f>'CMF - Values'!$C$10</f>
        <v>0.85</v>
      </c>
      <c r="AR16" s="158">
        <f>'CMF - Values'!$C$18</f>
        <v>0.7</v>
      </c>
      <c r="AS16" s="158">
        <f>'CMF - Values'!$C$15</f>
        <v>0.6</v>
      </c>
      <c r="AT16" s="158">
        <f>'CMF - Values'!$C$17</f>
        <v>0.75</v>
      </c>
      <c r="AU16" s="158"/>
      <c r="AV16" s="179">
        <f t="shared" si="10"/>
        <v>0.24359999999999996</v>
      </c>
      <c r="AW16" s="164">
        <f>'CMF - Values'!$C$20</f>
        <v>0.95</v>
      </c>
      <c r="AX16" s="158">
        <f>'CMF - Values'!$C$6</f>
        <v>0.76</v>
      </c>
      <c r="AY16" s="158">
        <f>'CMF - Values'!$C$4</f>
        <v>0.85</v>
      </c>
      <c r="AZ16" s="158">
        <f>'CMF - Values'!$C$16</f>
        <v>0.9</v>
      </c>
      <c r="BA16" s="158">
        <f>'CMF - Values'!$C$12</f>
        <v>0.57999999999999996</v>
      </c>
      <c r="BB16" s="158">
        <f>'CMF - Values'!$C$10</f>
        <v>0.85</v>
      </c>
      <c r="BC16" s="158">
        <f>'CMF - Values'!$C$18</f>
        <v>0.7</v>
      </c>
      <c r="BD16" s="158">
        <f>'CMF - Values'!$C$15</f>
        <v>0.6</v>
      </c>
      <c r="BE16" s="158">
        <f>'CMF - Values'!$C$17</f>
        <v>0.75</v>
      </c>
      <c r="BF16" s="158"/>
      <c r="BG16" s="179">
        <f t="shared" si="11"/>
        <v>0.24359999999999996</v>
      </c>
      <c r="BH16" s="158">
        <f>'CMF - Values'!$C$20</f>
        <v>0.95</v>
      </c>
      <c r="BI16" s="158">
        <f>'CMF - Values'!$C$6</f>
        <v>0.76</v>
      </c>
      <c r="BJ16" s="158">
        <f>'CMF - Values'!$C$4</f>
        <v>0.85</v>
      </c>
      <c r="BK16" s="158">
        <f>'CMF - Values'!$C$16</f>
        <v>0.9</v>
      </c>
      <c r="BL16" s="158">
        <f>'CMF - Values'!$C$12</f>
        <v>0.57999999999999996</v>
      </c>
      <c r="BM16" s="158">
        <f>'CMF - Values'!$C$10</f>
        <v>0.85</v>
      </c>
      <c r="BN16" s="158">
        <f>'CMF - Values'!$C$18</f>
        <v>0.7</v>
      </c>
      <c r="BO16" s="158">
        <f>'CMF - Values'!$C$15</f>
        <v>0.6</v>
      </c>
      <c r="BP16" s="158">
        <f>'CMF - Values'!$C$17</f>
        <v>0.75</v>
      </c>
      <c r="BQ16" s="158"/>
      <c r="BR16" s="184">
        <f t="shared" si="12"/>
        <v>0.24359999999999996</v>
      </c>
      <c r="BS16" s="124">
        <f t="shared" si="5"/>
        <v>66.448227200000005</v>
      </c>
      <c r="BT16" s="124">
        <f t="shared" si="6"/>
        <v>18.91</v>
      </c>
      <c r="BU16" s="124">
        <f t="shared" si="13"/>
        <v>4.2358400000000005</v>
      </c>
      <c r="BV16" s="124">
        <f t="shared" si="14"/>
        <v>1.8153600000000001</v>
      </c>
      <c r="BW16" s="143">
        <f t="shared" si="7"/>
        <v>0.15128000000000003</v>
      </c>
      <c r="BX16" s="194">
        <f>BS16*'KABCO Level - Values'!$B$4</f>
        <v>212634.32704</v>
      </c>
      <c r="BY16" s="194">
        <f>BT16*'KABCO Level - Values'!$B$5</f>
        <v>1208349</v>
      </c>
      <c r="BZ16" s="194">
        <f>BU16*'KABCO Level - Values'!$B$6</f>
        <v>529480.00000000012</v>
      </c>
      <c r="CA16" s="194">
        <f>BV16*'KABCO Level - Values'!$B$7</f>
        <v>833431.77600000007</v>
      </c>
      <c r="CB16" s="197">
        <f>BW16*'KABCO Level - Values'!$B$8</f>
        <v>1452288.0000000002</v>
      </c>
      <c r="CD16" s="302"/>
    </row>
    <row r="17" spans="1:82" s="123" customFormat="1" x14ac:dyDescent="0.25">
      <c r="A17" s="517"/>
      <c r="B17" s="511"/>
      <c r="C17" s="520"/>
      <c r="D17" s="493" t="s">
        <v>203</v>
      </c>
      <c r="E17" s="156" t="s">
        <v>204</v>
      </c>
      <c r="F17" s="115">
        <v>0</v>
      </c>
      <c r="G17" s="115">
        <v>0</v>
      </c>
      <c r="H17" s="115">
        <v>0</v>
      </c>
      <c r="I17" s="115">
        <v>0</v>
      </c>
      <c r="J17" s="117">
        <v>0</v>
      </c>
      <c r="K17" s="470">
        <f t="shared" si="0"/>
        <v>0</v>
      </c>
      <c r="L17" s="146">
        <f t="shared" si="1"/>
        <v>0</v>
      </c>
      <c r="M17" s="146">
        <f t="shared" si="2"/>
        <v>0</v>
      </c>
      <c r="N17" s="146">
        <f t="shared" si="3"/>
        <v>0</v>
      </c>
      <c r="O17" s="471">
        <f t="shared" si="4"/>
        <v>0</v>
      </c>
      <c r="P17" s="160">
        <f>'CMF - Values'!$C$20</f>
        <v>0.95</v>
      </c>
      <c r="Q17" s="160">
        <f>'CMF - Values'!$C$6</f>
        <v>0.76</v>
      </c>
      <c r="R17" s="160">
        <f>'CMF - Values'!$C$5</f>
        <v>0.93</v>
      </c>
      <c r="S17" s="160">
        <f>'CMF - Values'!$C$16</f>
        <v>0.9</v>
      </c>
      <c r="T17" s="160">
        <f>'CMF - Values'!$C$11</f>
        <v>0.9</v>
      </c>
      <c r="U17" s="160">
        <f>'CMF - Values'!$C$10</f>
        <v>0.85</v>
      </c>
      <c r="V17" s="160">
        <f>'CMF - Values'!$C$19</f>
        <v>0.9</v>
      </c>
      <c r="W17" s="160"/>
      <c r="X17" s="160"/>
      <c r="Y17" s="160"/>
      <c r="Z17" s="182">
        <f t="shared" si="8"/>
        <v>0.58140000000000003</v>
      </c>
      <c r="AA17" s="177">
        <f>'CMF - Values'!$C$20</f>
        <v>0.95</v>
      </c>
      <c r="AB17" s="160">
        <f>'CMF - Values'!$C$6</f>
        <v>0.76</v>
      </c>
      <c r="AC17" s="160">
        <f>'CMF - Values'!$C$4</f>
        <v>0.85</v>
      </c>
      <c r="AD17" s="160">
        <f>'CMF - Values'!$C$16</f>
        <v>0.9</v>
      </c>
      <c r="AE17" s="160">
        <f>'CMF - Values'!$C$11</f>
        <v>0.9</v>
      </c>
      <c r="AF17" s="160">
        <f>'CMF - Values'!$C$10</f>
        <v>0.85</v>
      </c>
      <c r="AG17" s="160">
        <f>'CMF - Values'!$C$19</f>
        <v>0.9</v>
      </c>
      <c r="AH17" s="160"/>
      <c r="AI17" s="160"/>
      <c r="AJ17" s="160"/>
      <c r="AK17" s="182">
        <f t="shared" si="9"/>
        <v>0.54910000000000003</v>
      </c>
      <c r="AL17" s="177">
        <f>'CMF - Values'!$C$20</f>
        <v>0.95</v>
      </c>
      <c r="AM17" s="160">
        <f>'CMF - Values'!$C$6</f>
        <v>0.76</v>
      </c>
      <c r="AN17" s="160">
        <f>'CMF - Values'!$C$4</f>
        <v>0.85</v>
      </c>
      <c r="AO17" s="160">
        <f>'CMF - Values'!$C$16</f>
        <v>0.9</v>
      </c>
      <c r="AP17" s="160">
        <f>'CMF - Values'!$C$11</f>
        <v>0.9</v>
      </c>
      <c r="AQ17" s="160">
        <f>'CMF - Values'!$C$10</f>
        <v>0.85</v>
      </c>
      <c r="AR17" s="160">
        <f>'CMF - Values'!$C$19</f>
        <v>0.9</v>
      </c>
      <c r="AS17" s="160"/>
      <c r="AT17" s="160"/>
      <c r="AU17" s="160"/>
      <c r="AV17" s="182">
        <f t="shared" si="10"/>
        <v>0.54910000000000003</v>
      </c>
      <c r="AW17" s="177">
        <f>'CMF - Values'!$C$20</f>
        <v>0.95</v>
      </c>
      <c r="AX17" s="160">
        <f>'CMF - Values'!$C$6</f>
        <v>0.76</v>
      </c>
      <c r="AY17" s="160">
        <f>'CMF - Values'!$C$4</f>
        <v>0.85</v>
      </c>
      <c r="AZ17" s="160">
        <f>'CMF - Values'!$C$16</f>
        <v>0.9</v>
      </c>
      <c r="BA17" s="160">
        <f>'CMF - Values'!$C$11</f>
        <v>0.9</v>
      </c>
      <c r="BB17" s="160">
        <f>'CMF - Values'!$C$10</f>
        <v>0.85</v>
      </c>
      <c r="BC17" s="160">
        <f>'CMF - Values'!$C$19</f>
        <v>0.9</v>
      </c>
      <c r="BD17" s="160"/>
      <c r="BE17" s="160"/>
      <c r="BF17" s="160"/>
      <c r="BG17" s="182">
        <f t="shared" si="11"/>
        <v>0.54910000000000003</v>
      </c>
      <c r="BH17" s="160">
        <f>'CMF - Values'!$C$20</f>
        <v>0.95</v>
      </c>
      <c r="BI17" s="160">
        <f>'CMF - Values'!$C$6</f>
        <v>0.76</v>
      </c>
      <c r="BJ17" s="160">
        <f>'CMF - Values'!$C$4</f>
        <v>0.85</v>
      </c>
      <c r="BK17" s="160">
        <f>'CMF - Values'!$C$16</f>
        <v>0.9</v>
      </c>
      <c r="BL17" s="160">
        <f>'CMF - Values'!$C$11</f>
        <v>0.9</v>
      </c>
      <c r="BM17" s="160">
        <f>'CMF - Values'!$C$10</f>
        <v>0.85</v>
      </c>
      <c r="BN17" s="160">
        <f>'CMF - Values'!$C$19</f>
        <v>0.9</v>
      </c>
      <c r="BO17" s="160"/>
      <c r="BP17" s="160"/>
      <c r="BQ17" s="160"/>
      <c r="BR17" s="187">
        <f t="shared" si="12"/>
        <v>0.54910000000000003</v>
      </c>
      <c r="BS17" s="189">
        <f t="shared" si="5"/>
        <v>0</v>
      </c>
      <c r="BT17" s="189">
        <f t="shared" si="6"/>
        <v>0</v>
      </c>
      <c r="BU17" s="189">
        <f t="shared" si="13"/>
        <v>0</v>
      </c>
      <c r="BV17" s="189">
        <f t="shared" si="14"/>
        <v>0</v>
      </c>
      <c r="BW17" s="139">
        <f t="shared" si="7"/>
        <v>0</v>
      </c>
      <c r="BX17" s="193">
        <f>BS17*'KABCO Level - Values'!$B$4</f>
        <v>0</v>
      </c>
      <c r="BY17" s="193">
        <f>BT17*'KABCO Level - Values'!$B$5</f>
        <v>0</v>
      </c>
      <c r="BZ17" s="193">
        <f>BU17*'KABCO Level - Values'!$B$6</f>
        <v>0</v>
      </c>
      <c r="CA17" s="193">
        <f>BV17*'KABCO Level - Values'!$B$7</f>
        <v>0</v>
      </c>
      <c r="CB17" s="196">
        <f>BW17*'KABCO Level - Values'!$B$8</f>
        <v>0</v>
      </c>
      <c r="CD17" s="302"/>
    </row>
    <row r="18" spans="1:82" s="123" customFormat="1" x14ac:dyDescent="0.25">
      <c r="A18" s="517"/>
      <c r="B18" s="511"/>
      <c r="C18" s="520"/>
      <c r="D18" s="493"/>
      <c r="E18" s="154" t="s">
        <v>174</v>
      </c>
      <c r="F18" s="113">
        <v>0</v>
      </c>
      <c r="G18" s="113">
        <v>0</v>
      </c>
      <c r="H18" s="113">
        <v>0</v>
      </c>
      <c r="I18" s="113">
        <v>0</v>
      </c>
      <c r="J18" s="118">
        <v>0</v>
      </c>
      <c r="K18" s="468">
        <f t="shared" si="0"/>
        <v>0</v>
      </c>
      <c r="L18" s="138">
        <f t="shared" si="1"/>
        <v>0</v>
      </c>
      <c r="M18" s="138">
        <f t="shared" si="2"/>
        <v>0</v>
      </c>
      <c r="N18" s="138">
        <f t="shared" si="3"/>
        <v>0</v>
      </c>
      <c r="O18" s="139">
        <f t="shared" si="4"/>
        <v>0</v>
      </c>
      <c r="P18" s="158">
        <f>'CMF - Values'!$C$20</f>
        <v>0.95</v>
      </c>
      <c r="Q18" s="158">
        <f>'CMF - Values'!$C$6</f>
        <v>0.76</v>
      </c>
      <c r="R18" s="158">
        <f>'CMF - Values'!$C$5</f>
        <v>0.93</v>
      </c>
      <c r="S18" s="158">
        <f>'CMF - Values'!$C$16</f>
        <v>0.9</v>
      </c>
      <c r="T18" s="158">
        <f>'CMF - Values'!$C$11</f>
        <v>0.9</v>
      </c>
      <c r="U18" s="158">
        <f>'CMF - Values'!$C$10</f>
        <v>0.85</v>
      </c>
      <c r="V18" s="158">
        <f>'CMF - Values'!$C$19</f>
        <v>0.9</v>
      </c>
      <c r="W18" s="158">
        <f>'CMF - Values'!$C$14</f>
        <v>0.88249690258459546</v>
      </c>
      <c r="X18" s="158"/>
      <c r="Y18" s="158"/>
      <c r="Z18" s="179">
        <f t="shared" si="8"/>
        <v>0.57009299906964872</v>
      </c>
      <c r="AA18" s="164">
        <f>'CMF - Values'!$C$20</f>
        <v>0.95</v>
      </c>
      <c r="AB18" s="158">
        <f>'CMF - Values'!$C$6</f>
        <v>0.76</v>
      </c>
      <c r="AC18" s="158">
        <f>'CMF - Values'!$C$4</f>
        <v>0.85</v>
      </c>
      <c r="AD18" s="158">
        <f>'CMF - Values'!$C$16</f>
        <v>0.9</v>
      </c>
      <c r="AE18" s="158">
        <f>'CMF - Values'!$C$11</f>
        <v>0.9</v>
      </c>
      <c r="AF18" s="158">
        <f>'CMF - Values'!$C$10</f>
        <v>0.85</v>
      </c>
      <c r="AG18" s="158">
        <f>'CMF - Values'!$C$19</f>
        <v>0.9</v>
      </c>
      <c r="AH18" s="158">
        <f>'CMF - Values'!$C$14</f>
        <v>0.88249690258459546</v>
      </c>
      <c r="AI18" s="158"/>
      <c r="AJ18" s="158"/>
      <c r="AK18" s="179">
        <f t="shared" si="9"/>
        <v>0.54910000000000003</v>
      </c>
      <c r="AL18" s="164">
        <f>'CMF - Values'!$C$20</f>
        <v>0.95</v>
      </c>
      <c r="AM18" s="158">
        <f>'CMF - Values'!$C$6</f>
        <v>0.76</v>
      </c>
      <c r="AN18" s="158">
        <f>'CMF - Values'!$C$4</f>
        <v>0.85</v>
      </c>
      <c r="AO18" s="158">
        <f>'CMF - Values'!$C$16</f>
        <v>0.9</v>
      </c>
      <c r="AP18" s="158">
        <f>'CMF - Values'!$C$11</f>
        <v>0.9</v>
      </c>
      <c r="AQ18" s="158">
        <f>'CMF - Values'!$C$10</f>
        <v>0.85</v>
      </c>
      <c r="AR18" s="158">
        <f>'CMF - Values'!$C$19</f>
        <v>0.9</v>
      </c>
      <c r="AS18" s="158">
        <f>'CMF - Values'!$C$14</f>
        <v>0.88249690258459546</v>
      </c>
      <c r="AT18" s="158"/>
      <c r="AU18" s="158"/>
      <c r="AV18" s="179">
        <f t="shared" si="10"/>
        <v>0.54910000000000003</v>
      </c>
      <c r="AW18" s="164">
        <f>'CMF - Values'!$C$20</f>
        <v>0.95</v>
      </c>
      <c r="AX18" s="158">
        <f>'CMF - Values'!$C$6</f>
        <v>0.76</v>
      </c>
      <c r="AY18" s="158">
        <f>'CMF - Values'!$C$4</f>
        <v>0.85</v>
      </c>
      <c r="AZ18" s="158">
        <f>'CMF - Values'!$C$16</f>
        <v>0.9</v>
      </c>
      <c r="BA18" s="158">
        <f>'CMF - Values'!$C$11</f>
        <v>0.9</v>
      </c>
      <c r="BB18" s="158">
        <f>'CMF - Values'!$C$10</f>
        <v>0.85</v>
      </c>
      <c r="BC18" s="158">
        <f>'CMF - Values'!$C$19</f>
        <v>0.9</v>
      </c>
      <c r="BD18" s="158">
        <f>'CMF - Values'!$C$14</f>
        <v>0.88249690258459546</v>
      </c>
      <c r="BE18" s="158"/>
      <c r="BF18" s="158"/>
      <c r="BG18" s="179">
        <f t="shared" si="11"/>
        <v>0.54910000000000003</v>
      </c>
      <c r="BH18" s="158">
        <f>'CMF - Values'!$C$20</f>
        <v>0.95</v>
      </c>
      <c r="BI18" s="158">
        <f>'CMF - Values'!$C$6</f>
        <v>0.76</v>
      </c>
      <c r="BJ18" s="158">
        <f>'CMF - Values'!$C$4</f>
        <v>0.85</v>
      </c>
      <c r="BK18" s="158">
        <f>'CMF - Values'!$C$16</f>
        <v>0.9</v>
      </c>
      <c r="BL18" s="158">
        <f>'CMF - Values'!$C$11</f>
        <v>0.9</v>
      </c>
      <c r="BM18" s="158">
        <f>'CMF - Values'!$C$10</f>
        <v>0.85</v>
      </c>
      <c r="BN18" s="158">
        <f>'CMF - Values'!$C$19</f>
        <v>0.9</v>
      </c>
      <c r="BO18" s="158">
        <f>'CMF - Values'!$C$14</f>
        <v>0.88249690258459546</v>
      </c>
      <c r="BP18" s="158"/>
      <c r="BQ18" s="158"/>
      <c r="BR18" s="184">
        <f t="shared" si="12"/>
        <v>0.54910000000000003</v>
      </c>
      <c r="BS18" s="189">
        <f t="shared" si="5"/>
        <v>0</v>
      </c>
      <c r="BT18" s="189">
        <f t="shared" si="6"/>
        <v>0</v>
      </c>
      <c r="BU18" s="189">
        <f t="shared" si="13"/>
        <v>0</v>
      </c>
      <c r="BV18" s="189">
        <f t="shared" si="14"/>
        <v>0</v>
      </c>
      <c r="BW18" s="139">
        <f t="shared" si="7"/>
        <v>0</v>
      </c>
      <c r="BX18" s="193">
        <f>BS18*'KABCO Level - Values'!$B$4</f>
        <v>0</v>
      </c>
      <c r="BY18" s="193">
        <f>BT18*'KABCO Level - Values'!$B$5</f>
        <v>0</v>
      </c>
      <c r="BZ18" s="193">
        <f>BU18*'KABCO Level - Values'!$B$6</f>
        <v>0</v>
      </c>
      <c r="CA18" s="193">
        <f>BV18*'KABCO Level - Values'!$B$7</f>
        <v>0</v>
      </c>
      <c r="CB18" s="196">
        <f>BW18*'KABCO Level - Values'!$B$8</f>
        <v>0</v>
      </c>
      <c r="CD18" s="302"/>
    </row>
    <row r="19" spans="1:82" s="123" customFormat="1" x14ac:dyDescent="0.25">
      <c r="A19" s="517"/>
      <c r="B19" s="511"/>
      <c r="C19" s="520"/>
      <c r="D19" s="493"/>
      <c r="E19" s="155" t="s">
        <v>202</v>
      </c>
      <c r="F19" s="308">
        <v>5.56</v>
      </c>
      <c r="G19" s="116">
        <v>0</v>
      </c>
      <c r="H19" s="116">
        <v>0</v>
      </c>
      <c r="I19" s="116">
        <v>0</v>
      </c>
      <c r="J19" s="119">
        <v>0</v>
      </c>
      <c r="K19" s="469">
        <f t="shared" si="0"/>
        <v>1.1119999999999999</v>
      </c>
      <c r="L19" s="142">
        <f t="shared" si="1"/>
        <v>0</v>
      </c>
      <c r="M19" s="142">
        <f t="shared" si="2"/>
        <v>0</v>
      </c>
      <c r="N19" s="142">
        <f t="shared" si="3"/>
        <v>0</v>
      </c>
      <c r="O19" s="143">
        <f t="shared" si="4"/>
        <v>0</v>
      </c>
      <c r="P19" s="159">
        <f>'CMF - Values'!$C$20</f>
        <v>0.95</v>
      </c>
      <c r="Q19" s="159">
        <f>'CMF - Values'!$C$6</f>
        <v>0.76</v>
      </c>
      <c r="R19" s="159">
        <f>'CMF - Values'!$C$5</f>
        <v>0.93</v>
      </c>
      <c r="S19" s="159">
        <f>'CMF - Values'!$C$16</f>
        <v>0.9</v>
      </c>
      <c r="T19" s="159">
        <f>'CMF - Values'!$C$11</f>
        <v>0.9</v>
      </c>
      <c r="U19" s="159">
        <f>'CMF - Values'!$C$10</f>
        <v>0.85</v>
      </c>
      <c r="V19" s="159">
        <f>'CMF - Values'!$C$19</f>
        <v>0.9</v>
      </c>
      <c r="W19" s="159"/>
      <c r="X19" s="159"/>
      <c r="Y19" s="159"/>
      <c r="Z19" s="180">
        <f t="shared" si="8"/>
        <v>0.58140000000000003</v>
      </c>
      <c r="AA19" s="176">
        <f>'CMF - Values'!$C$20</f>
        <v>0.95</v>
      </c>
      <c r="AB19" s="159">
        <f>'CMF - Values'!$C$6</f>
        <v>0.76</v>
      </c>
      <c r="AC19" s="159">
        <f>'CMF - Values'!$C$4</f>
        <v>0.85</v>
      </c>
      <c r="AD19" s="159">
        <f>'CMF - Values'!$C$16</f>
        <v>0.9</v>
      </c>
      <c r="AE19" s="159">
        <f>'CMF - Values'!$C$11</f>
        <v>0.9</v>
      </c>
      <c r="AF19" s="159">
        <f>'CMF - Values'!$C$10</f>
        <v>0.85</v>
      </c>
      <c r="AG19" s="159">
        <f>'CMF - Values'!$C$19</f>
        <v>0.9</v>
      </c>
      <c r="AH19" s="159"/>
      <c r="AI19" s="159"/>
      <c r="AJ19" s="159"/>
      <c r="AK19" s="180">
        <f t="shared" si="9"/>
        <v>0.54910000000000003</v>
      </c>
      <c r="AL19" s="176">
        <f>'CMF - Values'!$C$20</f>
        <v>0.95</v>
      </c>
      <c r="AM19" s="159">
        <f>'CMF - Values'!$C$6</f>
        <v>0.76</v>
      </c>
      <c r="AN19" s="159">
        <f>'CMF - Values'!$C$4</f>
        <v>0.85</v>
      </c>
      <c r="AO19" s="159">
        <f>'CMF - Values'!$C$16</f>
        <v>0.9</v>
      </c>
      <c r="AP19" s="159">
        <f>'CMF - Values'!$C$11</f>
        <v>0.9</v>
      </c>
      <c r="AQ19" s="159">
        <f>'CMF - Values'!$C$10</f>
        <v>0.85</v>
      </c>
      <c r="AR19" s="159">
        <f>'CMF - Values'!$C$19</f>
        <v>0.9</v>
      </c>
      <c r="AS19" s="159"/>
      <c r="AT19" s="159"/>
      <c r="AU19" s="159"/>
      <c r="AV19" s="180">
        <f t="shared" si="10"/>
        <v>0.54910000000000003</v>
      </c>
      <c r="AW19" s="176">
        <f>'CMF - Values'!$C$20</f>
        <v>0.95</v>
      </c>
      <c r="AX19" s="159">
        <f>'CMF - Values'!$C$6</f>
        <v>0.76</v>
      </c>
      <c r="AY19" s="159">
        <f>'CMF - Values'!$C$4</f>
        <v>0.85</v>
      </c>
      <c r="AZ19" s="159">
        <f>'CMF - Values'!$C$16</f>
        <v>0.9</v>
      </c>
      <c r="BA19" s="159">
        <f>'CMF - Values'!$C$11</f>
        <v>0.9</v>
      </c>
      <c r="BB19" s="159">
        <f>'CMF - Values'!$C$10</f>
        <v>0.85</v>
      </c>
      <c r="BC19" s="159">
        <f>'CMF - Values'!$C$19</f>
        <v>0.9</v>
      </c>
      <c r="BD19" s="159"/>
      <c r="BE19" s="159"/>
      <c r="BF19" s="159"/>
      <c r="BG19" s="180">
        <f t="shared" si="11"/>
        <v>0.54910000000000003</v>
      </c>
      <c r="BH19" s="159">
        <f>'CMF - Values'!$C$20</f>
        <v>0.95</v>
      </c>
      <c r="BI19" s="159">
        <f>'CMF - Values'!$C$6</f>
        <v>0.76</v>
      </c>
      <c r="BJ19" s="159">
        <f>'CMF - Values'!$C$4</f>
        <v>0.85</v>
      </c>
      <c r="BK19" s="159">
        <f>'CMF - Values'!$C$16</f>
        <v>0.9</v>
      </c>
      <c r="BL19" s="159">
        <f>'CMF - Values'!$C$11</f>
        <v>0.9</v>
      </c>
      <c r="BM19" s="159">
        <f>'CMF - Values'!$C$10</f>
        <v>0.85</v>
      </c>
      <c r="BN19" s="159">
        <f>'CMF - Values'!$C$19</f>
        <v>0.9</v>
      </c>
      <c r="BO19" s="159"/>
      <c r="BP19" s="159"/>
      <c r="BQ19" s="159"/>
      <c r="BR19" s="186">
        <f t="shared" si="12"/>
        <v>0.54910000000000003</v>
      </c>
      <c r="BS19" s="124">
        <f t="shared" si="5"/>
        <v>0.46548319999999993</v>
      </c>
      <c r="BT19" s="124">
        <f t="shared" si="6"/>
        <v>0</v>
      </c>
      <c r="BU19" s="124">
        <f t="shared" si="13"/>
        <v>0</v>
      </c>
      <c r="BV19" s="124">
        <f t="shared" si="14"/>
        <v>0</v>
      </c>
      <c r="BW19" s="143">
        <f t="shared" si="7"/>
        <v>0</v>
      </c>
      <c r="BX19" s="194">
        <f>BS19*'KABCO Level - Values'!$B$4</f>
        <v>1489.5462399999997</v>
      </c>
      <c r="BY19" s="194">
        <f>BT19*'KABCO Level - Values'!$B$5</f>
        <v>0</v>
      </c>
      <c r="BZ19" s="194">
        <f>BU19*'KABCO Level - Values'!$B$6</f>
        <v>0</v>
      </c>
      <c r="CA19" s="194">
        <f>BV19*'KABCO Level - Values'!$B$7</f>
        <v>0</v>
      </c>
      <c r="CB19" s="197">
        <f>BW19*'KABCO Level - Values'!$B$8</f>
        <v>0</v>
      </c>
      <c r="CD19" s="302"/>
    </row>
    <row r="20" spans="1:82" s="123" customFormat="1" x14ac:dyDescent="0.25">
      <c r="A20" s="517"/>
      <c r="B20" s="511"/>
      <c r="C20" s="520"/>
      <c r="D20" s="493" t="s">
        <v>137</v>
      </c>
      <c r="E20" s="156" t="s">
        <v>204</v>
      </c>
      <c r="F20" s="115">
        <v>0</v>
      </c>
      <c r="G20" s="115">
        <v>0</v>
      </c>
      <c r="H20" s="115">
        <v>0</v>
      </c>
      <c r="I20" s="115">
        <v>0</v>
      </c>
      <c r="J20" s="117">
        <v>0</v>
      </c>
      <c r="K20" s="470">
        <f t="shared" si="0"/>
        <v>0</v>
      </c>
      <c r="L20" s="146">
        <f t="shared" si="1"/>
        <v>0</v>
      </c>
      <c r="M20" s="146">
        <f t="shared" si="2"/>
        <v>0</v>
      </c>
      <c r="N20" s="146">
        <f t="shared" si="3"/>
        <v>0</v>
      </c>
      <c r="O20" s="471">
        <f t="shared" si="4"/>
        <v>0</v>
      </c>
      <c r="P20" s="160">
        <f>'CMF - Values'!$C$20</f>
        <v>0.95</v>
      </c>
      <c r="Q20" s="160">
        <f>'CMF - Values'!$C$7</f>
        <v>0.57999999999999996</v>
      </c>
      <c r="R20" s="160">
        <f>'CMF - Values'!$C$5</f>
        <v>0.93</v>
      </c>
      <c r="S20" s="160">
        <f>'CMF - Values'!$C$16</f>
        <v>0.9</v>
      </c>
      <c r="T20" s="160">
        <f>'CMF - Values'!$C$11</f>
        <v>0.9</v>
      </c>
      <c r="U20" s="160">
        <f>'CMF - Values'!$C$10</f>
        <v>0.85</v>
      </c>
      <c r="V20" s="160">
        <f>'CMF - Values'!$C$18</f>
        <v>0.7</v>
      </c>
      <c r="W20" s="160">
        <f>'CMF - Values'!$C$15</f>
        <v>0.6</v>
      </c>
      <c r="X20" s="160">
        <f>'CMF - Values'!$C$17</f>
        <v>0.75</v>
      </c>
      <c r="Y20" s="160"/>
      <c r="Z20" s="182">
        <f t="shared" si="8"/>
        <v>0.24359999999999996</v>
      </c>
      <c r="AA20" s="177">
        <f>'CMF - Values'!$C$20</f>
        <v>0.95</v>
      </c>
      <c r="AB20" s="160">
        <f>'CMF - Values'!$C$7</f>
        <v>0.57999999999999996</v>
      </c>
      <c r="AC20" s="160">
        <f>'CMF - Values'!$C$4</f>
        <v>0.85</v>
      </c>
      <c r="AD20" s="160">
        <f>'CMF - Values'!$C$16</f>
        <v>0.9</v>
      </c>
      <c r="AE20" s="160">
        <f>'CMF - Values'!$C$11</f>
        <v>0.9</v>
      </c>
      <c r="AF20" s="160">
        <f>'CMF - Values'!$C$10</f>
        <v>0.85</v>
      </c>
      <c r="AG20" s="160">
        <f>'CMF - Values'!$C$18</f>
        <v>0.7</v>
      </c>
      <c r="AH20" s="160">
        <f>'CMF - Values'!$C$15</f>
        <v>0.6</v>
      </c>
      <c r="AI20" s="160">
        <f>'CMF - Values'!$C$17</f>
        <v>0.75</v>
      </c>
      <c r="AJ20" s="160"/>
      <c r="AK20" s="182">
        <f t="shared" si="9"/>
        <v>0.24359999999999996</v>
      </c>
      <c r="AL20" s="177">
        <f>'CMF - Values'!$C$20</f>
        <v>0.95</v>
      </c>
      <c r="AM20" s="160">
        <f>'CMF - Values'!$C$7</f>
        <v>0.57999999999999996</v>
      </c>
      <c r="AN20" s="160">
        <f>'CMF - Values'!$C$4</f>
        <v>0.85</v>
      </c>
      <c r="AO20" s="160">
        <f>'CMF - Values'!$C$16</f>
        <v>0.9</v>
      </c>
      <c r="AP20" s="160">
        <f>'CMF - Values'!$C$11</f>
        <v>0.9</v>
      </c>
      <c r="AQ20" s="160">
        <f>'CMF - Values'!$C$10</f>
        <v>0.85</v>
      </c>
      <c r="AR20" s="160">
        <f>'CMF - Values'!$C$18</f>
        <v>0.7</v>
      </c>
      <c r="AS20" s="160">
        <f>'CMF - Values'!$C$15</f>
        <v>0.6</v>
      </c>
      <c r="AT20" s="160">
        <f>'CMF - Values'!$C$17</f>
        <v>0.75</v>
      </c>
      <c r="AU20" s="160"/>
      <c r="AV20" s="182">
        <f t="shared" si="10"/>
        <v>0.24359999999999996</v>
      </c>
      <c r="AW20" s="177">
        <f>'CMF - Values'!$C$20</f>
        <v>0.95</v>
      </c>
      <c r="AX20" s="160">
        <f>'CMF - Values'!$C$7</f>
        <v>0.57999999999999996</v>
      </c>
      <c r="AY20" s="160">
        <f>'CMF - Values'!$C$4</f>
        <v>0.85</v>
      </c>
      <c r="AZ20" s="160">
        <f>'CMF - Values'!$C$16</f>
        <v>0.9</v>
      </c>
      <c r="BA20" s="160">
        <f>'CMF - Values'!$C$11</f>
        <v>0.9</v>
      </c>
      <c r="BB20" s="160">
        <f>'CMF - Values'!$C$10</f>
        <v>0.85</v>
      </c>
      <c r="BC20" s="160">
        <f>'CMF - Values'!$C$18</f>
        <v>0.7</v>
      </c>
      <c r="BD20" s="160">
        <f>'CMF - Values'!$C$15</f>
        <v>0.6</v>
      </c>
      <c r="BE20" s="160">
        <f>'CMF - Values'!$C$17</f>
        <v>0.75</v>
      </c>
      <c r="BF20" s="160"/>
      <c r="BG20" s="182">
        <f t="shared" si="11"/>
        <v>0.24359999999999996</v>
      </c>
      <c r="BH20" s="160">
        <f>'CMF - Values'!$C$20</f>
        <v>0.95</v>
      </c>
      <c r="BI20" s="160">
        <f>'CMF - Values'!$C$7</f>
        <v>0.57999999999999996</v>
      </c>
      <c r="BJ20" s="160">
        <f>'CMF - Values'!$C$4</f>
        <v>0.85</v>
      </c>
      <c r="BK20" s="160">
        <f>'CMF - Values'!$C$16</f>
        <v>0.9</v>
      </c>
      <c r="BL20" s="160">
        <f>'CMF - Values'!$C$11</f>
        <v>0.9</v>
      </c>
      <c r="BM20" s="160">
        <f>'CMF - Values'!$C$10</f>
        <v>0.85</v>
      </c>
      <c r="BN20" s="160">
        <f>'CMF - Values'!$C$18</f>
        <v>0.7</v>
      </c>
      <c r="BO20" s="160">
        <f>'CMF - Values'!$C$15</f>
        <v>0.6</v>
      </c>
      <c r="BP20" s="160">
        <f>'CMF - Values'!$C$17</f>
        <v>0.75</v>
      </c>
      <c r="BQ20" s="160"/>
      <c r="BR20" s="187">
        <f t="shared" si="12"/>
        <v>0.24359999999999996</v>
      </c>
      <c r="BS20" s="189">
        <f t="shared" si="5"/>
        <v>0</v>
      </c>
      <c r="BT20" s="189">
        <f t="shared" si="6"/>
        <v>0</v>
      </c>
      <c r="BU20" s="189">
        <f t="shared" si="13"/>
        <v>0</v>
      </c>
      <c r="BV20" s="189">
        <f t="shared" si="14"/>
        <v>0</v>
      </c>
      <c r="BW20" s="139">
        <f t="shared" si="7"/>
        <v>0</v>
      </c>
      <c r="BX20" s="193">
        <f>BS20*'KABCO Level - Values'!$B$4</f>
        <v>0</v>
      </c>
      <c r="BY20" s="193">
        <f>BT20*'KABCO Level - Values'!$B$5</f>
        <v>0</v>
      </c>
      <c r="BZ20" s="193">
        <f>BU20*'KABCO Level - Values'!$B$6</f>
        <v>0</v>
      </c>
      <c r="CA20" s="193">
        <f>BV20*'KABCO Level - Values'!$B$7</f>
        <v>0</v>
      </c>
      <c r="CB20" s="196">
        <f>BW20*'KABCO Level - Values'!$B$8</f>
        <v>0</v>
      </c>
      <c r="CD20" s="302"/>
    </row>
    <row r="21" spans="1:82" s="123" customFormat="1" x14ac:dyDescent="0.25">
      <c r="A21" s="517"/>
      <c r="B21" s="511"/>
      <c r="C21" s="520"/>
      <c r="D21" s="493"/>
      <c r="E21" s="154" t="s">
        <v>174</v>
      </c>
      <c r="F21" s="304">
        <v>4.17</v>
      </c>
      <c r="G21" s="113">
        <v>3</v>
      </c>
      <c r="H21" s="113">
        <v>0</v>
      </c>
      <c r="I21" s="113">
        <v>0</v>
      </c>
      <c r="J21" s="118">
        <v>0</v>
      </c>
      <c r="K21" s="468">
        <f t="shared" si="0"/>
        <v>0.83399999999999996</v>
      </c>
      <c r="L21" s="138">
        <f t="shared" si="1"/>
        <v>0.6</v>
      </c>
      <c r="M21" s="138">
        <f t="shared" si="2"/>
        <v>0</v>
      </c>
      <c r="N21" s="138">
        <f t="shared" si="3"/>
        <v>0</v>
      </c>
      <c r="O21" s="139">
        <f t="shared" si="4"/>
        <v>0</v>
      </c>
      <c r="P21" s="158">
        <f>'CMF - Values'!$C$20</f>
        <v>0.95</v>
      </c>
      <c r="Q21" s="158">
        <f>'CMF - Values'!$C$7</f>
        <v>0.57999999999999996</v>
      </c>
      <c r="R21" s="158">
        <f>'CMF - Values'!$C$5</f>
        <v>0.93</v>
      </c>
      <c r="S21" s="158">
        <f>'CMF - Values'!$C$16</f>
        <v>0.9</v>
      </c>
      <c r="T21" s="158">
        <f>'CMF - Values'!$C$11</f>
        <v>0.9</v>
      </c>
      <c r="U21" s="158">
        <f>'CMF - Values'!$C$10</f>
        <v>0.85</v>
      </c>
      <c r="V21" s="158">
        <f>'CMF - Values'!$C$18</f>
        <v>0.7</v>
      </c>
      <c r="W21" s="158">
        <f>'CMF - Values'!$C$14</f>
        <v>0.88249690258459546</v>
      </c>
      <c r="X21" s="158"/>
      <c r="Y21" s="158"/>
      <c r="Z21" s="179">
        <f t="shared" si="8"/>
        <v>0.34509999999999996</v>
      </c>
      <c r="AA21" s="164">
        <f>'CMF - Values'!$C$20</f>
        <v>0.95</v>
      </c>
      <c r="AB21" s="158">
        <f>'CMF - Values'!$C$7</f>
        <v>0.57999999999999996</v>
      </c>
      <c r="AC21" s="158">
        <f>'CMF - Values'!$C$4</f>
        <v>0.85</v>
      </c>
      <c r="AD21" s="158">
        <f>'CMF - Values'!$C$16</f>
        <v>0.9</v>
      </c>
      <c r="AE21" s="158">
        <f>'CMF - Values'!$C$11</f>
        <v>0.9</v>
      </c>
      <c r="AF21" s="158">
        <f>'CMF - Values'!$C$10</f>
        <v>0.85</v>
      </c>
      <c r="AG21" s="158">
        <f>'CMF - Values'!$C$18</f>
        <v>0.7</v>
      </c>
      <c r="AH21" s="158">
        <f>'CMF - Values'!$C$14</f>
        <v>0.88249690258459546</v>
      </c>
      <c r="AI21" s="158"/>
      <c r="AJ21" s="158"/>
      <c r="AK21" s="179">
        <f t="shared" si="9"/>
        <v>0.34509999999999996</v>
      </c>
      <c r="AL21" s="164">
        <f>'CMF - Values'!$C$20</f>
        <v>0.95</v>
      </c>
      <c r="AM21" s="158">
        <f>'CMF - Values'!$C$7</f>
        <v>0.57999999999999996</v>
      </c>
      <c r="AN21" s="158">
        <f>'CMF - Values'!$C$4</f>
        <v>0.85</v>
      </c>
      <c r="AO21" s="158">
        <f>'CMF - Values'!$C$16</f>
        <v>0.9</v>
      </c>
      <c r="AP21" s="158">
        <f>'CMF - Values'!$C$11</f>
        <v>0.9</v>
      </c>
      <c r="AQ21" s="158">
        <f>'CMF - Values'!$C$10</f>
        <v>0.85</v>
      </c>
      <c r="AR21" s="158">
        <f>'CMF - Values'!$C$18</f>
        <v>0.7</v>
      </c>
      <c r="AS21" s="158">
        <f>'CMF - Values'!$C$14</f>
        <v>0.88249690258459546</v>
      </c>
      <c r="AT21" s="158"/>
      <c r="AU21" s="158"/>
      <c r="AV21" s="179">
        <f t="shared" si="10"/>
        <v>0.34509999999999996</v>
      </c>
      <c r="AW21" s="164">
        <f>'CMF - Values'!$C$20</f>
        <v>0.95</v>
      </c>
      <c r="AX21" s="158">
        <f>'CMF - Values'!$C$7</f>
        <v>0.57999999999999996</v>
      </c>
      <c r="AY21" s="158">
        <f>'CMF - Values'!$C$4</f>
        <v>0.85</v>
      </c>
      <c r="AZ21" s="158">
        <f>'CMF - Values'!$C$16</f>
        <v>0.9</v>
      </c>
      <c r="BA21" s="158">
        <f>'CMF - Values'!$C$11</f>
        <v>0.9</v>
      </c>
      <c r="BB21" s="158">
        <f>'CMF - Values'!$C$10</f>
        <v>0.85</v>
      </c>
      <c r="BC21" s="158">
        <f>'CMF - Values'!$C$18</f>
        <v>0.7</v>
      </c>
      <c r="BD21" s="158">
        <f>'CMF - Values'!$C$14</f>
        <v>0.88249690258459546</v>
      </c>
      <c r="BE21" s="158"/>
      <c r="BF21" s="158"/>
      <c r="BG21" s="179">
        <f t="shared" si="11"/>
        <v>0.34509999999999996</v>
      </c>
      <c r="BH21" s="158">
        <f>'CMF - Values'!$C$20</f>
        <v>0.95</v>
      </c>
      <c r="BI21" s="158">
        <f>'CMF - Values'!$C$7</f>
        <v>0.57999999999999996</v>
      </c>
      <c r="BJ21" s="158">
        <f>'CMF - Values'!$C$4</f>
        <v>0.85</v>
      </c>
      <c r="BK21" s="158">
        <f>'CMF - Values'!$C$16</f>
        <v>0.9</v>
      </c>
      <c r="BL21" s="158">
        <f>'CMF - Values'!$C$11</f>
        <v>0.9</v>
      </c>
      <c r="BM21" s="158">
        <f>'CMF - Values'!$C$10</f>
        <v>0.85</v>
      </c>
      <c r="BN21" s="158">
        <f>'CMF - Values'!$C$18</f>
        <v>0.7</v>
      </c>
      <c r="BO21" s="158">
        <f>'CMF - Values'!$C$14</f>
        <v>0.88249690258459546</v>
      </c>
      <c r="BP21" s="158"/>
      <c r="BQ21" s="158"/>
      <c r="BR21" s="184">
        <f t="shared" si="12"/>
        <v>0.34509999999999996</v>
      </c>
      <c r="BS21" s="189">
        <f t="shared" si="5"/>
        <v>0.54618659999999997</v>
      </c>
      <c r="BT21" s="189">
        <f t="shared" si="6"/>
        <v>0.39294000000000001</v>
      </c>
      <c r="BU21" s="189">
        <f t="shared" si="13"/>
        <v>0</v>
      </c>
      <c r="BV21" s="189">
        <f t="shared" si="14"/>
        <v>0</v>
      </c>
      <c r="BW21" s="139">
        <f t="shared" si="7"/>
        <v>0</v>
      </c>
      <c r="BX21" s="193">
        <f>BS21*'KABCO Level - Values'!$B$4</f>
        <v>1747.7971199999999</v>
      </c>
      <c r="BY21" s="193">
        <f>BT21*'KABCO Level - Values'!$B$5</f>
        <v>25108.866000000002</v>
      </c>
      <c r="BZ21" s="193">
        <f>BU21*'KABCO Level - Values'!$B$6</f>
        <v>0</v>
      </c>
      <c r="CA21" s="193">
        <f>BV21*'KABCO Level - Values'!$B$7</f>
        <v>0</v>
      </c>
      <c r="CB21" s="196">
        <f>BW21*'KABCO Level - Values'!$B$8</f>
        <v>0</v>
      </c>
      <c r="CD21" s="302"/>
    </row>
    <row r="22" spans="1:82" s="123" customFormat="1" x14ac:dyDescent="0.25">
      <c r="A22" s="517"/>
      <c r="B22" s="511"/>
      <c r="C22" s="520"/>
      <c r="D22" s="493"/>
      <c r="E22" s="155" t="s">
        <v>202</v>
      </c>
      <c r="F22" s="308">
        <v>1715.26</v>
      </c>
      <c r="G22" s="116">
        <v>200</v>
      </c>
      <c r="H22" s="113">
        <v>17</v>
      </c>
      <c r="I22" s="113">
        <v>1</v>
      </c>
      <c r="J22" s="118">
        <v>0</v>
      </c>
      <c r="K22" s="468">
        <f t="shared" si="0"/>
        <v>343.05200000000002</v>
      </c>
      <c r="L22" s="138">
        <f t="shared" si="1"/>
        <v>40</v>
      </c>
      <c r="M22" s="138">
        <f t="shared" si="2"/>
        <v>3.4</v>
      </c>
      <c r="N22" s="138">
        <f t="shared" si="3"/>
        <v>0.2</v>
      </c>
      <c r="O22" s="139">
        <f t="shared" si="4"/>
        <v>0</v>
      </c>
      <c r="P22" s="159">
        <f>'CMF - Values'!$C$20</f>
        <v>0.95</v>
      </c>
      <c r="Q22" s="159">
        <f>'CMF - Values'!$C$7</f>
        <v>0.57999999999999996</v>
      </c>
      <c r="R22" s="159">
        <f>'CMF - Values'!$C$5</f>
        <v>0.93</v>
      </c>
      <c r="S22" s="159">
        <f>'CMF - Values'!$C$16</f>
        <v>0.9</v>
      </c>
      <c r="T22" s="159">
        <f>'CMF - Values'!$C$11</f>
        <v>0.9</v>
      </c>
      <c r="U22" s="159">
        <f>'CMF - Values'!$C$10</f>
        <v>0.85</v>
      </c>
      <c r="V22" s="159">
        <f>'CMF - Values'!$C$18</f>
        <v>0.7</v>
      </c>
      <c r="W22" s="159"/>
      <c r="X22" s="159"/>
      <c r="Y22" s="159"/>
      <c r="Z22" s="180">
        <f t="shared" si="8"/>
        <v>0.34509999999999996</v>
      </c>
      <c r="AA22" s="176">
        <f>'CMF - Values'!$C$20</f>
        <v>0.95</v>
      </c>
      <c r="AB22" s="159">
        <f>'CMF - Values'!$C$7</f>
        <v>0.57999999999999996</v>
      </c>
      <c r="AC22" s="159">
        <f>'CMF - Values'!$C$4</f>
        <v>0.85</v>
      </c>
      <c r="AD22" s="159">
        <f>'CMF - Values'!$C$16</f>
        <v>0.9</v>
      </c>
      <c r="AE22" s="159">
        <f>'CMF - Values'!$C$11</f>
        <v>0.9</v>
      </c>
      <c r="AF22" s="159">
        <f>'CMF - Values'!$C$10</f>
        <v>0.85</v>
      </c>
      <c r="AG22" s="159">
        <f>'CMF - Values'!$C$18</f>
        <v>0.7</v>
      </c>
      <c r="AH22" s="159"/>
      <c r="AI22" s="159"/>
      <c r="AJ22" s="159"/>
      <c r="AK22" s="180">
        <f t="shared" si="9"/>
        <v>0.34509999999999996</v>
      </c>
      <c r="AL22" s="176">
        <f>'CMF - Values'!$C$20</f>
        <v>0.95</v>
      </c>
      <c r="AM22" s="159">
        <f>'CMF - Values'!$C$7</f>
        <v>0.57999999999999996</v>
      </c>
      <c r="AN22" s="159">
        <f>'CMF - Values'!$C$4</f>
        <v>0.85</v>
      </c>
      <c r="AO22" s="159">
        <f>'CMF - Values'!$C$16</f>
        <v>0.9</v>
      </c>
      <c r="AP22" s="159">
        <f>'CMF - Values'!$C$11</f>
        <v>0.9</v>
      </c>
      <c r="AQ22" s="159">
        <f>'CMF - Values'!$C$10</f>
        <v>0.85</v>
      </c>
      <c r="AR22" s="159">
        <f>'CMF - Values'!$C$18</f>
        <v>0.7</v>
      </c>
      <c r="AS22" s="159"/>
      <c r="AT22" s="159"/>
      <c r="AU22" s="159"/>
      <c r="AV22" s="180">
        <f t="shared" si="10"/>
        <v>0.34509999999999996</v>
      </c>
      <c r="AW22" s="176">
        <f>'CMF - Values'!$C$20</f>
        <v>0.95</v>
      </c>
      <c r="AX22" s="159">
        <f>'CMF - Values'!$C$7</f>
        <v>0.57999999999999996</v>
      </c>
      <c r="AY22" s="159">
        <f>'CMF - Values'!$C$4</f>
        <v>0.85</v>
      </c>
      <c r="AZ22" s="159">
        <f>'CMF - Values'!$C$16</f>
        <v>0.9</v>
      </c>
      <c r="BA22" s="159">
        <f>'CMF - Values'!$C$11</f>
        <v>0.9</v>
      </c>
      <c r="BB22" s="159">
        <f>'CMF - Values'!$C$10</f>
        <v>0.85</v>
      </c>
      <c r="BC22" s="159">
        <f>'CMF - Values'!$C$18</f>
        <v>0.7</v>
      </c>
      <c r="BD22" s="159"/>
      <c r="BE22" s="159"/>
      <c r="BF22" s="159"/>
      <c r="BG22" s="180">
        <f t="shared" si="11"/>
        <v>0.34509999999999996</v>
      </c>
      <c r="BH22" s="159">
        <f>'CMF - Values'!$C$20</f>
        <v>0.95</v>
      </c>
      <c r="BI22" s="159">
        <f>'CMF - Values'!$C$7</f>
        <v>0.57999999999999996</v>
      </c>
      <c r="BJ22" s="159">
        <f>'CMF - Values'!$C$4</f>
        <v>0.85</v>
      </c>
      <c r="BK22" s="159">
        <f>'CMF - Values'!$C$16</f>
        <v>0.9</v>
      </c>
      <c r="BL22" s="159">
        <f>'CMF - Values'!$C$11</f>
        <v>0.9</v>
      </c>
      <c r="BM22" s="159">
        <f>'CMF - Values'!$C$10</f>
        <v>0.85</v>
      </c>
      <c r="BN22" s="159">
        <f>'CMF - Values'!$C$18</f>
        <v>0.7</v>
      </c>
      <c r="BO22" s="159"/>
      <c r="BP22" s="159"/>
      <c r="BQ22" s="159"/>
      <c r="BR22" s="186">
        <f t="shared" si="12"/>
        <v>0.34509999999999996</v>
      </c>
      <c r="BS22" s="124">
        <f t="shared" si="5"/>
        <v>224.66475480000003</v>
      </c>
      <c r="BT22" s="124">
        <f t="shared" si="6"/>
        <v>26.196000000000002</v>
      </c>
      <c r="BU22" s="124">
        <f t="shared" si="13"/>
        <v>2.2266599999999999</v>
      </c>
      <c r="BV22" s="124">
        <f t="shared" si="14"/>
        <v>0.13098000000000001</v>
      </c>
      <c r="BW22" s="143">
        <f t="shared" si="7"/>
        <v>0</v>
      </c>
      <c r="BX22" s="194">
        <f>BS22*'KABCO Level - Values'!$B$4</f>
        <v>718927.21536000003</v>
      </c>
      <c r="BY22" s="194">
        <f>BT22*'KABCO Level - Values'!$B$5</f>
        <v>1673924.4000000001</v>
      </c>
      <c r="BZ22" s="194">
        <f>BU22*'KABCO Level - Values'!$B$6</f>
        <v>278332.5</v>
      </c>
      <c r="CA22" s="194">
        <f>BV22*'KABCO Level - Values'!$B$7</f>
        <v>60132.918000000005</v>
      </c>
      <c r="CB22" s="197">
        <f>BW22*'KABCO Level - Values'!$B$8</f>
        <v>0</v>
      </c>
      <c r="CD22" s="302"/>
    </row>
    <row r="23" spans="1:82" s="123" customFormat="1" x14ac:dyDescent="0.25">
      <c r="A23" s="517"/>
      <c r="B23" s="511"/>
      <c r="C23" s="520"/>
      <c r="D23" s="493" t="s">
        <v>139</v>
      </c>
      <c r="E23" s="156" t="s">
        <v>204</v>
      </c>
      <c r="F23" s="312">
        <v>5.56</v>
      </c>
      <c r="G23" s="115">
        <v>1</v>
      </c>
      <c r="H23" s="115">
        <v>3</v>
      </c>
      <c r="I23" s="115">
        <v>0</v>
      </c>
      <c r="J23" s="117">
        <v>0</v>
      </c>
      <c r="K23" s="470">
        <f t="shared" si="0"/>
        <v>1.1119999999999999</v>
      </c>
      <c r="L23" s="146">
        <f t="shared" si="1"/>
        <v>0.2</v>
      </c>
      <c r="M23" s="146">
        <f t="shared" si="2"/>
        <v>0.6</v>
      </c>
      <c r="N23" s="146">
        <f t="shared" si="3"/>
        <v>0</v>
      </c>
      <c r="O23" s="471">
        <f t="shared" si="4"/>
        <v>0</v>
      </c>
      <c r="P23" s="160">
        <f>'CMF - Values'!$C$20</f>
        <v>0.95</v>
      </c>
      <c r="Q23" s="160">
        <f>'CMF - Values'!$C$8</f>
        <v>0.7</v>
      </c>
      <c r="R23" s="160">
        <f>'CMF - Values'!$C$5</f>
        <v>0.93</v>
      </c>
      <c r="S23" s="160">
        <f>'CMF - Values'!$C$16</f>
        <v>0.9</v>
      </c>
      <c r="T23" s="160">
        <f>'CMF - Values'!$C$11</f>
        <v>0.9</v>
      </c>
      <c r="U23" s="160">
        <f>'CMF - Values'!$C$10</f>
        <v>0.85</v>
      </c>
      <c r="V23" s="160">
        <f>'CMF - Values'!$C$19</f>
        <v>0.9</v>
      </c>
      <c r="W23" s="160">
        <f>'CMF - Values'!$C$15</f>
        <v>0.6</v>
      </c>
      <c r="X23" s="160">
        <f>'CMF - Values'!$C$17</f>
        <v>0.75</v>
      </c>
      <c r="Y23" s="160"/>
      <c r="Z23" s="182">
        <f t="shared" si="8"/>
        <v>0.315</v>
      </c>
      <c r="AA23" s="177">
        <f>'CMF - Values'!$C$20</f>
        <v>0.95</v>
      </c>
      <c r="AB23" s="160">
        <f>'CMF - Values'!$C$8</f>
        <v>0.7</v>
      </c>
      <c r="AC23" s="160">
        <f>'CMF - Values'!$C$4</f>
        <v>0.85</v>
      </c>
      <c r="AD23" s="160">
        <f>'CMF - Values'!$C$16</f>
        <v>0.9</v>
      </c>
      <c r="AE23" s="160">
        <f>'CMF - Values'!$C$11</f>
        <v>0.9</v>
      </c>
      <c r="AF23" s="160">
        <f>'CMF - Values'!$C$10</f>
        <v>0.85</v>
      </c>
      <c r="AG23" s="160">
        <f>'CMF - Values'!$C$19</f>
        <v>0.9</v>
      </c>
      <c r="AH23" s="160">
        <f>'CMF - Values'!$C$15</f>
        <v>0.6</v>
      </c>
      <c r="AI23" s="160">
        <f>'CMF - Values'!$C$17</f>
        <v>0.75</v>
      </c>
      <c r="AJ23" s="160"/>
      <c r="AK23" s="182">
        <f t="shared" si="9"/>
        <v>0.315</v>
      </c>
      <c r="AL23" s="177">
        <f>'CMF - Values'!$C$20</f>
        <v>0.95</v>
      </c>
      <c r="AM23" s="160">
        <f>'CMF - Values'!$C$8</f>
        <v>0.7</v>
      </c>
      <c r="AN23" s="160">
        <f>'CMF - Values'!$C$4</f>
        <v>0.85</v>
      </c>
      <c r="AO23" s="160">
        <f>'CMF - Values'!$C$16</f>
        <v>0.9</v>
      </c>
      <c r="AP23" s="160">
        <f>'CMF - Values'!$C$11</f>
        <v>0.9</v>
      </c>
      <c r="AQ23" s="160">
        <f>'CMF - Values'!$C$10</f>
        <v>0.85</v>
      </c>
      <c r="AR23" s="160">
        <f>'CMF - Values'!$C$19</f>
        <v>0.9</v>
      </c>
      <c r="AS23" s="160">
        <f>'CMF - Values'!$C$15</f>
        <v>0.6</v>
      </c>
      <c r="AT23" s="160">
        <f>'CMF - Values'!$C$17</f>
        <v>0.75</v>
      </c>
      <c r="AU23" s="160"/>
      <c r="AV23" s="182">
        <f t="shared" si="10"/>
        <v>0.315</v>
      </c>
      <c r="AW23" s="177">
        <f>'CMF - Values'!$C$20</f>
        <v>0.95</v>
      </c>
      <c r="AX23" s="160">
        <f>'CMF - Values'!$C$8</f>
        <v>0.7</v>
      </c>
      <c r="AY23" s="160">
        <f>'CMF - Values'!$C$4</f>
        <v>0.85</v>
      </c>
      <c r="AZ23" s="160">
        <f>'CMF - Values'!$C$16</f>
        <v>0.9</v>
      </c>
      <c r="BA23" s="160">
        <f>'CMF - Values'!$C$11</f>
        <v>0.9</v>
      </c>
      <c r="BB23" s="160">
        <f>'CMF - Values'!$C$10</f>
        <v>0.85</v>
      </c>
      <c r="BC23" s="160">
        <f>'CMF - Values'!$C$19</f>
        <v>0.9</v>
      </c>
      <c r="BD23" s="160">
        <f>'CMF - Values'!$C$15</f>
        <v>0.6</v>
      </c>
      <c r="BE23" s="160">
        <f>'CMF - Values'!$C$17</f>
        <v>0.75</v>
      </c>
      <c r="BF23" s="160"/>
      <c r="BG23" s="182">
        <f t="shared" si="11"/>
        <v>0.315</v>
      </c>
      <c r="BH23" s="160">
        <f>'CMF - Values'!$C$20</f>
        <v>0.95</v>
      </c>
      <c r="BI23" s="160">
        <f>'CMF - Values'!$C$8</f>
        <v>0.7</v>
      </c>
      <c r="BJ23" s="160">
        <f>'CMF - Values'!$C$4</f>
        <v>0.85</v>
      </c>
      <c r="BK23" s="160">
        <f>'CMF - Values'!$C$16</f>
        <v>0.9</v>
      </c>
      <c r="BL23" s="160">
        <f>'CMF - Values'!$C$11</f>
        <v>0.9</v>
      </c>
      <c r="BM23" s="160">
        <f>'CMF - Values'!$C$10</f>
        <v>0.85</v>
      </c>
      <c r="BN23" s="160">
        <f>'CMF - Values'!$C$19</f>
        <v>0.9</v>
      </c>
      <c r="BO23" s="160">
        <f>'CMF - Values'!$C$15</f>
        <v>0.6</v>
      </c>
      <c r="BP23" s="160">
        <f>'CMF - Values'!$C$17</f>
        <v>0.75</v>
      </c>
      <c r="BQ23" s="160"/>
      <c r="BR23" s="187">
        <f t="shared" si="12"/>
        <v>0.315</v>
      </c>
      <c r="BS23" s="189">
        <f t="shared" si="5"/>
        <v>0.76171999999999995</v>
      </c>
      <c r="BT23" s="189">
        <f t="shared" si="6"/>
        <v>0.13700000000000001</v>
      </c>
      <c r="BU23" s="189">
        <f t="shared" si="13"/>
        <v>0.41100000000000003</v>
      </c>
      <c r="BV23" s="189">
        <f t="shared" si="14"/>
        <v>0</v>
      </c>
      <c r="BW23" s="139">
        <f t="shared" si="7"/>
        <v>0</v>
      </c>
      <c r="BX23" s="193">
        <f>BS23*'KABCO Level - Values'!$B$4</f>
        <v>2437.5039999999999</v>
      </c>
      <c r="BY23" s="193">
        <f>BT23*'KABCO Level - Values'!$B$5</f>
        <v>8754.3000000000011</v>
      </c>
      <c r="BZ23" s="193">
        <f>BU23*'KABCO Level - Values'!$B$6</f>
        <v>51375.000000000007</v>
      </c>
      <c r="CA23" s="193">
        <f>BV23*'KABCO Level - Values'!$B$7</f>
        <v>0</v>
      </c>
      <c r="CB23" s="196">
        <f>BW23*'KABCO Level - Values'!$B$8</f>
        <v>0</v>
      </c>
      <c r="CD23" s="302"/>
    </row>
    <row r="24" spans="1:82" s="123" customFormat="1" x14ac:dyDescent="0.25">
      <c r="A24" s="517"/>
      <c r="B24" s="511"/>
      <c r="C24" s="520"/>
      <c r="D24" s="493"/>
      <c r="E24" s="154" t="s">
        <v>174</v>
      </c>
      <c r="F24" s="113">
        <v>0</v>
      </c>
      <c r="G24" s="113">
        <v>0</v>
      </c>
      <c r="H24" s="113">
        <v>0</v>
      </c>
      <c r="I24" s="113">
        <v>0</v>
      </c>
      <c r="J24" s="118">
        <v>0</v>
      </c>
      <c r="K24" s="468">
        <f t="shared" si="0"/>
        <v>0</v>
      </c>
      <c r="L24" s="138">
        <f t="shared" si="1"/>
        <v>0</v>
      </c>
      <c r="M24" s="138">
        <f t="shared" si="2"/>
        <v>0</v>
      </c>
      <c r="N24" s="138">
        <f t="shared" si="3"/>
        <v>0</v>
      </c>
      <c r="O24" s="139">
        <f t="shared" si="4"/>
        <v>0</v>
      </c>
      <c r="P24" s="158">
        <f>'CMF - Values'!$C$20</f>
        <v>0.95</v>
      </c>
      <c r="Q24" s="158">
        <f>'CMF - Values'!$C$8</f>
        <v>0.7</v>
      </c>
      <c r="R24" s="158">
        <f>'CMF - Values'!$C$5</f>
        <v>0.93</v>
      </c>
      <c r="S24" s="158">
        <f>'CMF - Values'!$C$16</f>
        <v>0.9</v>
      </c>
      <c r="T24" s="158">
        <f>'CMF - Values'!$C$11</f>
        <v>0.9</v>
      </c>
      <c r="U24" s="158">
        <f>'CMF - Values'!$C$10</f>
        <v>0.85</v>
      </c>
      <c r="V24" s="158">
        <f>'CMF - Values'!$C$14</f>
        <v>0.88249690258459546</v>
      </c>
      <c r="W24" s="158"/>
      <c r="X24" s="158"/>
      <c r="Y24" s="158"/>
      <c r="Z24" s="179">
        <f t="shared" si="8"/>
        <v>0.52508565703783427</v>
      </c>
      <c r="AA24" s="164">
        <f>'CMF - Values'!$C$20</f>
        <v>0.95</v>
      </c>
      <c r="AB24" s="158">
        <f>'CMF - Values'!$C$8</f>
        <v>0.7</v>
      </c>
      <c r="AC24" s="158">
        <f>'CMF - Values'!$C$4</f>
        <v>0.85</v>
      </c>
      <c r="AD24" s="158">
        <f>'CMF - Values'!$C$16</f>
        <v>0.9</v>
      </c>
      <c r="AE24" s="158">
        <f>'CMF - Values'!$C$11</f>
        <v>0.9</v>
      </c>
      <c r="AF24" s="158">
        <f>'CMF - Values'!$C$10</f>
        <v>0.85</v>
      </c>
      <c r="AG24" s="158">
        <f>'CMF - Values'!$C$14</f>
        <v>0.88249690258459546</v>
      </c>
      <c r="AH24" s="158"/>
      <c r="AI24" s="158"/>
      <c r="AJ24" s="158"/>
      <c r="AK24" s="179">
        <f t="shared" si="9"/>
        <v>0.50574999999999992</v>
      </c>
      <c r="AL24" s="164">
        <f>'CMF - Values'!$C$20</f>
        <v>0.95</v>
      </c>
      <c r="AM24" s="158">
        <f>'CMF - Values'!$C$8</f>
        <v>0.7</v>
      </c>
      <c r="AN24" s="158">
        <f>'CMF - Values'!$C$4</f>
        <v>0.85</v>
      </c>
      <c r="AO24" s="158">
        <f>'CMF - Values'!$C$16</f>
        <v>0.9</v>
      </c>
      <c r="AP24" s="158">
        <f>'CMF - Values'!$C$11</f>
        <v>0.9</v>
      </c>
      <c r="AQ24" s="158">
        <f>'CMF - Values'!$C$10</f>
        <v>0.85</v>
      </c>
      <c r="AR24" s="158">
        <f>'CMF - Values'!$C$14</f>
        <v>0.88249690258459546</v>
      </c>
      <c r="AS24" s="158"/>
      <c r="AT24" s="158"/>
      <c r="AU24" s="158"/>
      <c r="AV24" s="179">
        <f t="shared" si="10"/>
        <v>0.50574999999999992</v>
      </c>
      <c r="AW24" s="164">
        <f>'CMF - Values'!$C$20</f>
        <v>0.95</v>
      </c>
      <c r="AX24" s="158">
        <f>'CMF - Values'!$C$8</f>
        <v>0.7</v>
      </c>
      <c r="AY24" s="158">
        <f>'CMF - Values'!$C$4</f>
        <v>0.85</v>
      </c>
      <c r="AZ24" s="158">
        <f>'CMF - Values'!$C$16</f>
        <v>0.9</v>
      </c>
      <c r="BA24" s="158">
        <f>'CMF - Values'!$C$11</f>
        <v>0.9</v>
      </c>
      <c r="BB24" s="158">
        <f>'CMF - Values'!$C$10</f>
        <v>0.85</v>
      </c>
      <c r="BC24" s="158">
        <f>'CMF - Values'!$C$14</f>
        <v>0.88249690258459546</v>
      </c>
      <c r="BD24" s="158"/>
      <c r="BE24" s="158"/>
      <c r="BF24" s="158"/>
      <c r="BG24" s="179">
        <f t="shared" si="11"/>
        <v>0.50574999999999992</v>
      </c>
      <c r="BH24" s="158">
        <f>'CMF - Values'!$C$20</f>
        <v>0.95</v>
      </c>
      <c r="BI24" s="158">
        <f>'CMF - Values'!$C$8</f>
        <v>0.7</v>
      </c>
      <c r="BJ24" s="158">
        <f>'CMF - Values'!$C$4</f>
        <v>0.85</v>
      </c>
      <c r="BK24" s="158">
        <f>'CMF - Values'!$C$16</f>
        <v>0.9</v>
      </c>
      <c r="BL24" s="158">
        <f>'CMF - Values'!$C$11</f>
        <v>0.9</v>
      </c>
      <c r="BM24" s="158">
        <f>'CMF - Values'!$C$10</f>
        <v>0.85</v>
      </c>
      <c r="BN24" s="158">
        <f>'CMF - Values'!$C$14</f>
        <v>0.88249690258459546</v>
      </c>
      <c r="BO24" s="158"/>
      <c r="BP24" s="158"/>
      <c r="BQ24" s="158"/>
      <c r="BR24" s="184">
        <f t="shared" si="12"/>
        <v>0.50574999999999992</v>
      </c>
      <c r="BS24" s="189">
        <f t="shared" si="5"/>
        <v>0</v>
      </c>
      <c r="BT24" s="189">
        <f t="shared" si="6"/>
        <v>0</v>
      </c>
      <c r="BU24" s="189">
        <f t="shared" si="13"/>
        <v>0</v>
      </c>
      <c r="BV24" s="189">
        <f t="shared" si="14"/>
        <v>0</v>
      </c>
      <c r="BW24" s="139">
        <f t="shared" si="7"/>
        <v>0</v>
      </c>
      <c r="BX24" s="193">
        <f>BS24*'KABCO Level - Values'!$B$4</f>
        <v>0</v>
      </c>
      <c r="BY24" s="193">
        <f>BT24*'KABCO Level - Values'!$B$5</f>
        <v>0</v>
      </c>
      <c r="BZ24" s="193">
        <f>BU24*'KABCO Level - Values'!$B$6</f>
        <v>0</v>
      </c>
      <c r="CA24" s="193">
        <f>BV24*'KABCO Level - Values'!$B$7</f>
        <v>0</v>
      </c>
      <c r="CB24" s="196">
        <f>BW24*'KABCO Level - Values'!$B$8</f>
        <v>0</v>
      </c>
      <c r="CD24" s="302"/>
    </row>
    <row r="25" spans="1:82" s="123" customFormat="1" x14ac:dyDescent="0.25">
      <c r="A25" s="517"/>
      <c r="B25" s="511"/>
      <c r="C25" s="520"/>
      <c r="D25" s="493"/>
      <c r="E25" s="155" t="s">
        <v>202</v>
      </c>
      <c r="F25" s="308">
        <v>33.36</v>
      </c>
      <c r="G25" s="113">
        <v>2</v>
      </c>
      <c r="H25" s="116">
        <v>2</v>
      </c>
      <c r="I25" s="116">
        <v>0</v>
      </c>
      <c r="J25" s="119">
        <v>0</v>
      </c>
      <c r="K25" s="469">
        <f t="shared" si="0"/>
        <v>6.6719999999999997</v>
      </c>
      <c r="L25" s="142">
        <f t="shared" si="1"/>
        <v>0.4</v>
      </c>
      <c r="M25" s="142">
        <f t="shared" si="2"/>
        <v>0.4</v>
      </c>
      <c r="N25" s="142">
        <f t="shared" si="3"/>
        <v>0</v>
      </c>
      <c r="O25" s="143">
        <f t="shared" si="4"/>
        <v>0</v>
      </c>
      <c r="P25" s="159">
        <f>'CMF - Values'!$C$20</f>
        <v>0.95</v>
      </c>
      <c r="Q25" s="159">
        <f>'CMF - Values'!$C$8</f>
        <v>0.7</v>
      </c>
      <c r="R25" s="159">
        <f>'CMF - Values'!$C$5</f>
        <v>0.93</v>
      </c>
      <c r="S25" s="159">
        <f>'CMF - Values'!$C$16</f>
        <v>0.9</v>
      </c>
      <c r="T25" s="159">
        <f>'CMF - Values'!$C$11</f>
        <v>0.9</v>
      </c>
      <c r="U25" s="159">
        <f>'CMF - Values'!$C$10</f>
        <v>0.85</v>
      </c>
      <c r="V25" s="159"/>
      <c r="W25" s="159"/>
      <c r="X25" s="159"/>
      <c r="Y25" s="159"/>
      <c r="Z25" s="180">
        <f t="shared" si="8"/>
        <v>0.53549999999999998</v>
      </c>
      <c r="AA25" s="176">
        <f>'CMF - Values'!$C$20</f>
        <v>0.95</v>
      </c>
      <c r="AB25" s="159">
        <f>'CMF - Values'!$C$8</f>
        <v>0.7</v>
      </c>
      <c r="AC25" s="159">
        <f>'CMF - Values'!$C$4</f>
        <v>0.85</v>
      </c>
      <c r="AD25" s="159">
        <f>'CMF - Values'!$C$16</f>
        <v>0.9</v>
      </c>
      <c r="AE25" s="159">
        <f>'CMF - Values'!$C$11</f>
        <v>0.9</v>
      </c>
      <c r="AF25" s="159">
        <f>'CMF - Values'!$C$10</f>
        <v>0.85</v>
      </c>
      <c r="AG25" s="159"/>
      <c r="AH25" s="159"/>
      <c r="AI25" s="159"/>
      <c r="AJ25" s="159"/>
      <c r="AK25" s="180">
        <f t="shared" si="9"/>
        <v>0.50574999999999992</v>
      </c>
      <c r="AL25" s="176">
        <f>'CMF - Values'!$C$20</f>
        <v>0.95</v>
      </c>
      <c r="AM25" s="159">
        <f>'CMF - Values'!$C$8</f>
        <v>0.7</v>
      </c>
      <c r="AN25" s="159">
        <f>'CMF - Values'!$C$4</f>
        <v>0.85</v>
      </c>
      <c r="AO25" s="159">
        <f>'CMF - Values'!$C$16</f>
        <v>0.9</v>
      </c>
      <c r="AP25" s="159">
        <f>'CMF - Values'!$C$11</f>
        <v>0.9</v>
      </c>
      <c r="AQ25" s="159">
        <f>'CMF - Values'!$C$10</f>
        <v>0.85</v>
      </c>
      <c r="AR25" s="159"/>
      <c r="AS25" s="159"/>
      <c r="AT25" s="159"/>
      <c r="AU25" s="159"/>
      <c r="AV25" s="180">
        <f t="shared" si="10"/>
        <v>0.50574999999999992</v>
      </c>
      <c r="AW25" s="176">
        <f>'CMF - Values'!$C$20</f>
        <v>0.95</v>
      </c>
      <c r="AX25" s="159">
        <f>'CMF - Values'!$C$8</f>
        <v>0.7</v>
      </c>
      <c r="AY25" s="159">
        <f>'CMF - Values'!$C$4</f>
        <v>0.85</v>
      </c>
      <c r="AZ25" s="159">
        <f>'CMF - Values'!$C$16</f>
        <v>0.9</v>
      </c>
      <c r="BA25" s="159">
        <f>'CMF - Values'!$C$11</f>
        <v>0.9</v>
      </c>
      <c r="BB25" s="159">
        <f>'CMF - Values'!$C$10</f>
        <v>0.85</v>
      </c>
      <c r="BC25" s="159"/>
      <c r="BD25" s="159"/>
      <c r="BE25" s="159"/>
      <c r="BF25" s="159"/>
      <c r="BG25" s="180">
        <f t="shared" si="11"/>
        <v>0.50574999999999992</v>
      </c>
      <c r="BH25" s="159">
        <f>'CMF - Values'!$C$20</f>
        <v>0.95</v>
      </c>
      <c r="BI25" s="159">
        <f>'CMF - Values'!$C$8</f>
        <v>0.7</v>
      </c>
      <c r="BJ25" s="159">
        <f>'CMF - Values'!$C$4</f>
        <v>0.85</v>
      </c>
      <c r="BK25" s="159">
        <f>'CMF - Values'!$C$16</f>
        <v>0.9</v>
      </c>
      <c r="BL25" s="159">
        <f>'CMF - Values'!$C$11</f>
        <v>0.9</v>
      </c>
      <c r="BM25" s="159">
        <f>'CMF - Values'!$C$10</f>
        <v>0.85</v>
      </c>
      <c r="BN25" s="159"/>
      <c r="BO25" s="159"/>
      <c r="BP25" s="159"/>
      <c r="BQ25" s="159"/>
      <c r="BR25" s="186">
        <f t="shared" si="12"/>
        <v>0.50574999999999992</v>
      </c>
      <c r="BS25" s="124">
        <f t="shared" si="5"/>
        <v>3.0991439999999999</v>
      </c>
      <c r="BT25" s="124">
        <f t="shared" si="6"/>
        <v>0.19770000000000004</v>
      </c>
      <c r="BU25" s="124">
        <f t="shared" si="13"/>
        <v>0.19770000000000004</v>
      </c>
      <c r="BV25" s="124">
        <f t="shared" si="14"/>
        <v>0</v>
      </c>
      <c r="BW25" s="143">
        <f t="shared" si="7"/>
        <v>0</v>
      </c>
      <c r="BX25" s="194">
        <f>BS25*'KABCO Level - Values'!$B$4</f>
        <v>9917.2608</v>
      </c>
      <c r="BY25" s="194">
        <f>BT25*'KABCO Level - Values'!$B$5</f>
        <v>12633.030000000002</v>
      </c>
      <c r="BZ25" s="194">
        <f>BU25*'KABCO Level - Values'!$B$6</f>
        <v>24712.500000000004</v>
      </c>
      <c r="CA25" s="194">
        <f>BV25*'KABCO Level - Values'!$B$7</f>
        <v>0</v>
      </c>
      <c r="CB25" s="197">
        <f>BW25*'KABCO Level - Values'!$B$8</f>
        <v>0</v>
      </c>
      <c r="CD25" s="302"/>
    </row>
    <row r="26" spans="1:82" s="123" customFormat="1" x14ac:dyDescent="0.25">
      <c r="A26" s="517"/>
      <c r="B26" s="511"/>
      <c r="C26" s="520"/>
      <c r="D26" s="493" t="s">
        <v>202</v>
      </c>
      <c r="E26" s="156" t="s">
        <v>204</v>
      </c>
      <c r="F26" s="312">
        <v>2.78</v>
      </c>
      <c r="G26" s="115">
        <v>1</v>
      </c>
      <c r="H26" s="115">
        <v>1</v>
      </c>
      <c r="I26" s="115">
        <v>0</v>
      </c>
      <c r="J26" s="117">
        <v>0</v>
      </c>
      <c r="K26" s="470">
        <f t="shared" si="0"/>
        <v>0.55599999999999994</v>
      </c>
      <c r="L26" s="146">
        <f t="shared" si="1"/>
        <v>0.2</v>
      </c>
      <c r="M26" s="146">
        <f t="shared" si="2"/>
        <v>0.2</v>
      </c>
      <c r="N26" s="146">
        <f t="shared" si="3"/>
        <v>0</v>
      </c>
      <c r="O26" s="471">
        <f t="shared" si="4"/>
        <v>0</v>
      </c>
      <c r="P26" s="160">
        <f>'CMF - Values'!$C$20</f>
        <v>0.95</v>
      </c>
      <c r="Q26" s="160">
        <f>'CMF - Values'!$C$6</f>
        <v>0.76</v>
      </c>
      <c r="R26" s="160">
        <f>'CMF - Values'!$C$5</f>
        <v>0.93</v>
      </c>
      <c r="S26" s="160">
        <f>'CMF - Values'!$C$16</f>
        <v>0.9</v>
      </c>
      <c r="T26" s="160">
        <f>'CMF - Values'!$C$11</f>
        <v>0.9</v>
      </c>
      <c r="U26" s="160">
        <f>'CMF - Values'!$C$10</f>
        <v>0.85</v>
      </c>
      <c r="V26" s="160">
        <f>'CMF - Values'!$C$19</f>
        <v>0.9</v>
      </c>
      <c r="W26" s="160">
        <f>'CMF - Values'!$C$15</f>
        <v>0.6</v>
      </c>
      <c r="X26" s="160">
        <f>'CMF - Values'!$C$17</f>
        <v>0.75</v>
      </c>
      <c r="Y26" s="160"/>
      <c r="Z26" s="182">
        <f t="shared" si="8"/>
        <v>0.34199999999999997</v>
      </c>
      <c r="AA26" s="177">
        <f>'CMF - Values'!$C$20</f>
        <v>0.95</v>
      </c>
      <c r="AB26" s="160">
        <f>'CMF - Values'!$C$6</f>
        <v>0.76</v>
      </c>
      <c r="AC26" s="160">
        <f>'CMF - Values'!$C$4</f>
        <v>0.85</v>
      </c>
      <c r="AD26" s="160">
        <f>'CMF - Values'!$C$16</f>
        <v>0.9</v>
      </c>
      <c r="AE26" s="160">
        <f>'CMF - Values'!$C$11</f>
        <v>0.9</v>
      </c>
      <c r="AF26" s="160">
        <f>'CMF - Values'!$C$10</f>
        <v>0.85</v>
      </c>
      <c r="AG26" s="160">
        <f>'CMF - Values'!$C$19</f>
        <v>0.9</v>
      </c>
      <c r="AH26" s="160">
        <f>'CMF - Values'!$C$15</f>
        <v>0.6</v>
      </c>
      <c r="AI26" s="160">
        <f>'CMF - Values'!$C$17</f>
        <v>0.75</v>
      </c>
      <c r="AJ26" s="160"/>
      <c r="AK26" s="182">
        <f t="shared" si="9"/>
        <v>0.34199999999999997</v>
      </c>
      <c r="AL26" s="177">
        <f>'CMF - Values'!$C$20</f>
        <v>0.95</v>
      </c>
      <c r="AM26" s="160">
        <f>'CMF - Values'!$C$6</f>
        <v>0.76</v>
      </c>
      <c r="AN26" s="160">
        <f>'CMF - Values'!$C$4</f>
        <v>0.85</v>
      </c>
      <c r="AO26" s="160">
        <f>'CMF - Values'!$C$16</f>
        <v>0.9</v>
      </c>
      <c r="AP26" s="160">
        <f>'CMF - Values'!$C$11</f>
        <v>0.9</v>
      </c>
      <c r="AQ26" s="160">
        <f>'CMF - Values'!$C$10</f>
        <v>0.85</v>
      </c>
      <c r="AR26" s="160">
        <f>'CMF - Values'!$C$19</f>
        <v>0.9</v>
      </c>
      <c r="AS26" s="160">
        <f>'CMF - Values'!$C$15</f>
        <v>0.6</v>
      </c>
      <c r="AT26" s="160">
        <f>'CMF - Values'!$C$17</f>
        <v>0.75</v>
      </c>
      <c r="AU26" s="160"/>
      <c r="AV26" s="182">
        <f t="shared" si="10"/>
        <v>0.34199999999999997</v>
      </c>
      <c r="AW26" s="177">
        <f>'CMF - Values'!$C$20</f>
        <v>0.95</v>
      </c>
      <c r="AX26" s="160">
        <f>'CMF - Values'!$C$6</f>
        <v>0.76</v>
      </c>
      <c r="AY26" s="160">
        <f>'CMF - Values'!$C$4</f>
        <v>0.85</v>
      </c>
      <c r="AZ26" s="160">
        <f>'CMF - Values'!$C$16</f>
        <v>0.9</v>
      </c>
      <c r="BA26" s="160">
        <f>'CMF - Values'!$C$11</f>
        <v>0.9</v>
      </c>
      <c r="BB26" s="160">
        <f>'CMF - Values'!$C$10</f>
        <v>0.85</v>
      </c>
      <c r="BC26" s="160">
        <f>'CMF - Values'!$C$19</f>
        <v>0.9</v>
      </c>
      <c r="BD26" s="160">
        <f>'CMF - Values'!$C$15</f>
        <v>0.6</v>
      </c>
      <c r="BE26" s="160">
        <f>'CMF - Values'!$C$17</f>
        <v>0.75</v>
      </c>
      <c r="BF26" s="160"/>
      <c r="BG26" s="182">
        <f t="shared" si="11"/>
        <v>0.34199999999999997</v>
      </c>
      <c r="BH26" s="160">
        <f>'CMF - Values'!$C$20</f>
        <v>0.95</v>
      </c>
      <c r="BI26" s="160">
        <f>'CMF - Values'!$C$6</f>
        <v>0.76</v>
      </c>
      <c r="BJ26" s="160">
        <f>'CMF - Values'!$C$4</f>
        <v>0.85</v>
      </c>
      <c r="BK26" s="160">
        <f>'CMF - Values'!$C$16</f>
        <v>0.9</v>
      </c>
      <c r="BL26" s="160">
        <f>'CMF - Values'!$C$11</f>
        <v>0.9</v>
      </c>
      <c r="BM26" s="160">
        <f>'CMF - Values'!$C$10</f>
        <v>0.85</v>
      </c>
      <c r="BN26" s="160">
        <f>'CMF - Values'!$C$19</f>
        <v>0.9</v>
      </c>
      <c r="BO26" s="160">
        <f>'CMF - Values'!$C$15</f>
        <v>0.6</v>
      </c>
      <c r="BP26" s="160">
        <f>'CMF - Values'!$C$17</f>
        <v>0.75</v>
      </c>
      <c r="BQ26" s="160"/>
      <c r="BR26" s="187">
        <f t="shared" si="12"/>
        <v>0.34199999999999997</v>
      </c>
      <c r="BS26" s="189">
        <f t="shared" si="5"/>
        <v>0.36584799999999995</v>
      </c>
      <c r="BT26" s="189">
        <f t="shared" si="6"/>
        <v>0.13160000000000002</v>
      </c>
      <c r="BU26" s="189">
        <f t="shared" si="13"/>
        <v>0.13160000000000002</v>
      </c>
      <c r="BV26" s="189">
        <f t="shared" si="14"/>
        <v>0</v>
      </c>
      <c r="BW26" s="139">
        <f t="shared" si="7"/>
        <v>0</v>
      </c>
      <c r="BX26" s="193">
        <f>BS26*'KABCO Level - Values'!$B$4</f>
        <v>1170.7135999999998</v>
      </c>
      <c r="BY26" s="193">
        <f>BT26*'KABCO Level - Values'!$B$5</f>
        <v>8409.2400000000016</v>
      </c>
      <c r="BZ26" s="193">
        <f>BU26*'KABCO Level - Values'!$B$6</f>
        <v>16450.000000000004</v>
      </c>
      <c r="CA26" s="193">
        <f>BV26*'KABCO Level - Values'!$B$7</f>
        <v>0</v>
      </c>
      <c r="CB26" s="196">
        <f>BW26*'KABCO Level - Values'!$B$8</f>
        <v>0</v>
      </c>
      <c r="CD26" s="302"/>
    </row>
    <row r="27" spans="1:82" s="123" customFormat="1" x14ac:dyDescent="0.25">
      <c r="A27" s="517"/>
      <c r="B27" s="511"/>
      <c r="C27" s="520"/>
      <c r="D27" s="493"/>
      <c r="E27" s="154" t="s">
        <v>174</v>
      </c>
      <c r="F27" s="304">
        <v>5.56</v>
      </c>
      <c r="G27" s="113">
        <v>0</v>
      </c>
      <c r="H27" s="113">
        <v>2</v>
      </c>
      <c r="I27" s="113">
        <v>0</v>
      </c>
      <c r="J27" s="118">
        <v>0</v>
      </c>
      <c r="K27" s="468">
        <f t="shared" si="0"/>
        <v>1.1119999999999999</v>
      </c>
      <c r="L27" s="138">
        <f t="shared" si="1"/>
        <v>0</v>
      </c>
      <c r="M27" s="138">
        <f t="shared" si="2"/>
        <v>0.4</v>
      </c>
      <c r="N27" s="138">
        <f t="shared" si="3"/>
        <v>0</v>
      </c>
      <c r="O27" s="139">
        <f t="shared" si="4"/>
        <v>0</v>
      </c>
      <c r="P27" s="158">
        <f>'CMF - Values'!$C$20</f>
        <v>0.95</v>
      </c>
      <c r="Q27" s="158">
        <f>'CMF - Values'!$C$6</f>
        <v>0.76</v>
      </c>
      <c r="R27" s="158">
        <f>'CMF - Values'!$C$5</f>
        <v>0.93</v>
      </c>
      <c r="S27" s="158">
        <f>'CMF - Values'!$C$16</f>
        <v>0.9</v>
      </c>
      <c r="T27" s="158">
        <f>'CMF - Values'!$C$11</f>
        <v>0.9</v>
      </c>
      <c r="U27" s="158">
        <f>'CMF - Values'!$C$10</f>
        <v>0.85</v>
      </c>
      <c r="V27" s="158">
        <f>'CMF - Values'!$C$14</f>
        <v>0.88249690258459546</v>
      </c>
      <c r="W27" s="158"/>
      <c r="X27" s="158"/>
      <c r="Y27" s="158"/>
      <c r="Z27" s="179">
        <f t="shared" si="8"/>
        <v>0.57009299906964872</v>
      </c>
      <c r="AA27" s="164">
        <f>'CMF - Values'!$C$20</f>
        <v>0.95</v>
      </c>
      <c r="AB27" s="158">
        <f>'CMF - Values'!$C$6</f>
        <v>0.76</v>
      </c>
      <c r="AC27" s="158">
        <f>'CMF - Values'!$C$4</f>
        <v>0.85</v>
      </c>
      <c r="AD27" s="158">
        <f>'CMF - Values'!$C$16</f>
        <v>0.9</v>
      </c>
      <c r="AE27" s="158">
        <f>'CMF - Values'!$C$11</f>
        <v>0.9</v>
      </c>
      <c r="AF27" s="158">
        <f>'CMF - Values'!$C$10</f>
        <v>0.85</v>
      </c>
      <c r="AG27" s="158">
        <f>'CMF - Values'!$C$14</f>
        <v>0.88249690258459546</v>
      </c>
      <c r="AH27" s="158"/>
      <c r="AI27" s="158"/>
      <c r="AJ27" s="158"/>
      <c r="AK27" s="179">
        <f t="shared" si="9"/>
        <v>0.54910000000000003</v>
      </c>
      <c r="AL27" s="164">
        <f>'CMF - Values'!$C$20</f>
        <v>0.95</v>
      </c>
      <c r="AM27" s="158">
        <f>'CMF - Values'!$C$6</f>
        <v>0.76</v>
      </c>
      <c r="AN27" s="158">
        <f>'CMF - Values'!$C$4</f>
        <v>0.85</v>
      </c>
      <c r="AO27" s="158">
        <f>'CMF - Values'!$C$16</f>
        <v>0.9</v>
      </c>
      <c r="AP27" s="158">
        <f>'CMF - Values'!$C$11</f>
        <v>0.9</v>
      </c>
      <c r="AQ27" s="158">
        <f>'CMF - Values'!$C$10</f>
        <v>0.85</v>
      </c>
      <c r="AR27" s="158">
        <f>'CMF - Values'!$C$14</f>
        <v>0.88249690258459546</v>
      </c>
      <c r="AS27" s="158"/>
      <c r="AT27" s="158"/>
      <c r="AU27" s="158"/>
      <c r="AV27" s="179">
        <f t="shared" si="10"/>
        <v>0.54910000000000003</v>
      </c>
      <c r="AW27" s="164">
        <f>'CMF - Values'!$C$20</f>
        <v>0.95</v>
      </c>
      <c r="AX27" s="158">
        <f>'CMF - Values'!$C$6</f>
        <v>0.76</v>
      </c>
      <c r="AY27" s="158">
        <f>'CMF - Values'!$C$4</f>
        <v>0.85</v>
      </c>
      <c r="AZ27" s="158">
        <f>'CMF - Values'!$C$16</f>
        <v>0.9</v>
      </c>
      <c r="BA27" s="158">
        <f>'CMF - Values'!$C$11</f>
        <v>0.9</v>
      </c>
      <c r="BB27" s="158">
        <f>'CMF - Values'!$C$10</f>
        <v>0.85</v>
      </c>
      <c r="BC27" s="158">
        <f>'CMF - Values'!$C$14</f>
        <v>0.88249690258459546</v>
      </c>
      <c r="BD27" s="158"/>
      <c r="BE27" s="158"/>
      <c r="BF27" s="158"/>
      <c r="BG27" s="179">
        <f t="shared" si="11"/>
        <v>0.54910000000000003</v>
      </c>
      <c r="BH27" s="158">
        <f>'CMF - Values'!$C$20</f>
        <v>0.95</v>
      </c>
      <c r="BI27" s="158">
        <f>'CMF - Values'!$C$6</f>
        <v>0.76</v>
      </c>
      <c r="BJ27" s="158">
        <f>'CMF - Values'!$C$4</f>
        <v>0.85</v>
      </c>
      <c r="BK27" s="158">
        <f>'CMF - Values'!$C$16</f>
        <v>0.9</v>
      </c>
      <c r="BL27" s="158">
        <f>'CMF - Values'!$C$11</f>
        <v>0.9</v>
      </c>
      <c r="BM27" s="158">
        <f>'CMF - Values'!$C$10</f>
        <v>0.85</v>
      </c>
      <c r="BN27" s="158">
        <f>'CMF - Values'!$C$14</f>
        <v>0.88249690258459546</v>
      </c>
      <c r="BO27" s="158"/>
      <c r="BP27" s="158"/>
      <c r="BQ27" s="158"/>
      <c r="BR27" s="184">
        <f t="shared" si="12"/>
        <v>0.54910000000000003</v>
      </c>
      <c r="BS27" s="189">
        <f t="shared" si="5"/>
        <v>0.47805658503455056</v>
      </c>
      <c r="BT27" s="189">
        <f t="shared" si="6"/>
        <v>0</v>
      </c>
      <c r="BU27" s="189">
        <f t="shared" si="13"/>
        <v>0.18035999999999999</v>
      </c>
      <c r="BV27" s="189">
        <f t="shared" si="14"/>
        <v>0</v>
      </c>
      <c r="BW27" s="139">
        <f t="shared" si="7"/>
        <v>0</v>
      </c>
      <c r="BX27" s="193">
        <f>BS27*'KABCO Level - Values'!$B$4</f>
        <v>1529.7810721105618</v>
      </c>
      <c r="BY27" s="193">
        <f>BT27*'KABCO Level - Values'!$B$5</f>
        <v>0</v>
      </c>
      <c r="BZ27" s="193">
        <f>BU27*'KABCO Level - Values'!$B$6</f>
        <v>22545</v>
      </c>
      <c r="CA27" s="193">
        <f>BV27*'KABCO Level - Values'!$B$7</f>
        <v>0</v>
      </c>
      <c r="CB27" s="196">
        <f>BW27*'KABCO Level - Values'!$B$8</f>
        <v>0</v>
      </c>
      <c r="CD27" s="302"/>
    </row>
    <row r="28" spans="1:82" s="123" customFormat="1" x14ac:dyDescent="0.25">
      <c r="A28" s="517"/>
      <c r="B28" s="511"/>
      <c r="C28" s="520"/>
      <c r="D28" s="493"/>
      <c r="E28" s="155" t="s">
        <v>202</v>
      </c>
      <c r="F28" s="308">
        <v>557.39</v>
      </c>
      <c r="G28" s="116">
        <v>22</v>
      </c>
      <c r="H28" s="116">
        <v>3</v>
      </c>
      <c r="I28" s="116">
        <v>0</v>
      </c>
      <c r="J28" s="119">
        <v>0</v>
      </c>
      <c r="K28" s="469">
        <f t="shared" si="0"/>
        <v>111.47799999999999</v>
      </c>
      <c r="L28" s="142">
        <f t="shared" si="1"/>
        <v>4.4000000000000004</v>
      </c>
      <c r="M28" s="142">
        <f t="shared" si="2"/>
        <v>0.6</v>
      </c>
      <c r="N28" s="142">
        <f t="shared" si="3"/>
        <v>0</v>
      </c>
      <c r="O28" s="143">
        <f t="shared" si="4"/>
        <v>0</v>
      </c>
      <c r="P28" s="159">
        <f>'CMF - Values'!$C$20</f>
        <v>0.95</v>
      </c>
      <c r="Q28" s="159">
        <f>'CMF - Values'!$C$6</f>
        <v>0.76</v>
      </c>
      <c r="R28" s="159">
        <f>'CMF - Values'!$C$5</f>
        <v>0.93</v>
      </c>
      <c r="S28" s="159">
        <f>'CMF - Values'!$C$16</f>
        <v>0.9</v>
      </c>
      <c r="T28" s="159">
        <f>'CMF - Values'!$C$11</f>
        <v>0.9</v>
      </c>
      <c r="U28" s="159">
        <f>'CMF - Values'!$C$10</f>
        <v>0.85</v>
      </c>
      <c r="V28" s="159"/>
      <c r="W28" s="159"/>
      <c r="X28" s="159"/>
      <c r="Y28" s="159"/>
      <c r="Z28" s="180">
        <f t="shared" si="8"/>
        <v>0.58140000000000003</v>
      </c>
      <c r="AA28" s="176">
        <f>'CMF - Values'!$C$20</f>
        <v>0.95</v>
      </c>
      <c r="AB28" s="159">
        <f>'CMF - Values'!$C$6</f>
        <v>0.76</v>
      </c>
      <c r="AC28" s="159">
        <f>'CMF - Values'!$C$4</f>
        <v>0.85</v>
      </c>
      <c r="AD28" s="159">
        <f>'CMF - Values'!$C$16</f>
        <v>0.9</v>
      </c>
      <c r="AE28" s="159">
        <f>'CMF - Values'!$C$11</f>
        <v>0.9</v>
      </c>
      <c r="AF28" s="159">
        <f>'CMF - Values'!$C$10</f>
        <v>0.85</v>
      </c>
      <c r="AG28" s="159"/>
      <c r="AH28" s="159"/>
      <c r="AI28" s="159"/>
      <c r="AJ28" s="159"/>
      <c r="AK28" s="180">
        <f t="shared" si="9"/>
        <v>0.54910000000000003</v>
      </c>
      <c r="AL28" s="176">
        <f>'CMF - Values'!$C$20</f>
        <v>0.95</v>
      </c>
      <c r="AM28" s="159">
        <f>'CMF - Values'!$C$6</f>
        <v>0.76</v>
      </c>
      <c r="AN28" s="159">
        <f>'CMF - Values'!$C$4</f>
        <v>0.85</v>
      </c>
      <c r="AO28" s="159">
        <f>'CMF - Values'!$C$16</f>
        <v>0.9</v>
      </c>
      <c r="AP28" s="159">
        <f>'CMF - Values'!$C$11</f>
        <v>0.9</v>
      </c>
      <c r="AQ28" s="159">
        <f>'CMF - Values'!$C$10</f>
        <v>0.85</v>
      </c>
      <c r="AR28" s="159"/>
      <c r="AS28" s="159"/>
      <c r="AT28" s="159"/>
      <c r="AU28" s="159"/>
      <c r="AV28" s="180">
        <f t="shared" si="10"/>
        <v>0.54910000000000003</v>
      </c>
      <c r="AW28" s="176">
        <f>'CMF - Values'!$C$20</f>
        <v>0.95</v>
      </c>
      <c r="AX28" s="159">
        <f>'CMF - Values'!$C$6</f>
        <v>0.76</v>
      </c>
      <c r="AY28" s="159">
        <f>'CMF - Values'!$C$4</f>
        <v>0.85</v>
      </c>
      <c r="AZ28" s="159">
        <f>'CMF - Values'!$C$16</f>
        <v>0.9</v>
      </c>
      <c r="BA28" s="159">
        <f>'CMF - Values'!$C$11</f>
        <v>0.9</v>
      </c>
      <c r="BB28" s="159">
        <f>'CMF - Values'!$C$10</f>
        <v>0.85</v>
      </c>
      <c r="BC28" s="159"/>
      <c r="BD28" s="159"/>
      <c r="BE28" s="159"/>
      <c r="BF28" s="159"/>
      <c r="BG28" s="180">
        <f t="shared" si="11"/>
        <v>0.54910000000000003</v>
      </c>
      <c r="BH28" s="159">
        <f>'CMF - Values'!$C$20</f>
        <v>0.95</v>
      </c>
      <c r="BI28" s="159">
        <f>'CMF - Values'!$C$6</f>
        <v>0.76</v>
      </c>
      <c r="BJ28" s="159">
        <f>'CMF - Values'!$C$4</f>
        <v>0.85</v>
      </c>
      <c r="BK28" s="159">
        <f>'CMF - Values'!$C$16</f>
        <v>0.9</v>
      </c>
      <c r="BL28" s="159">
        <f>'CMF - Values'!$C$11</f>
        <v>0.9</v>
      </c>
      <c r="BM28" s="159">
        <f>'CMF - Values'!$C$10</f>
        <v>0.85</v>
      </c>
      <c r="BN28" s="159"/>
      <c r="BO28" s="159"/>
      <c r="BP28" s="159"/>
      <c r="BQ28" s="159"/>
      <c r="BR28" s="186">
        <f t="shared" si="12"/>
        <v>0.54910000000000003</v>
      </c>
      <c r="BS28" s="124">
        <f t="shared" si="5"/>
        <v>46.664690799999995</v>
      </c>
      <c r="BT28" s="124">
        <f t="shared" si="6"/>
        <v>1.9839599999999999</v>
      </c>
      <c r="BU28" s="124">
        <f t="shared" si="13"/>
        <v>0.27053999999999995</v>
      </c>
      <c r="BV28" s="124">
        <f t="shared" si="14"/>
        <v>0</v>
      </c>
      <c r="BW28" s="143">
        <f t="shared" si="7"/>
        <v>0</v>
      </c>
      <c r="BX28" s="194">
        <f>BS28*'KABCO Level - Values'!$B$4</f>
        <v>149327.01056</v>
      </c>
      <c r="BY28" s="194">
        <f>BT28*'KABCO Level - Values'!$B$5</f>
        <v>126775.04399999999</v>
      </c>
      <c r="BZ28" s="194">
        <f>BU28*'KABCO Level - Values'!$B$6</f>
        <v>33817.499999999993</v>
      </c>
      <c r="CA28" s="194">
        <f>BV28*'KABCO Level - Values'!$B$7</f>
        <v>0</v>
      </c>
      <c r="CB28" s="197">
        <f>BW28*'KABCO Level - Values'!$B$8</f>
        <v>0</v>
      </c>
      <c r="CD28" s="302"/>
    </row>
    <row r="29" spans="1:82" s="123" customFormat="1" x14ac:dyDescent="0.25">
      <c r="A29" s="517"/>
      <c r="B29" s="511"/>
      <c r="C29" s="520" t="s">
        <v>193</v>
      </c>
      <c r="D29" s="493" t="s">
        <v>151</v>
      </c>
      <c r="E29" s="156" t="s">
        <v>204</v>
      </c>
      <c r="F29" s="115">
        <v>0</v>
      </c>
      <c r="G29" s="115">
        <v>0</v>
      </c>
      <c r="H29" s="115">
        <v>0</v>
      </c>
      <c r="I29" s="115">
        <v>0</v>
      </c>
      <c r="J29" s="117">
        <v>0</v>
      </c>
      <c r="K29" s="470">
        <f t="shared" si="0"/>
        <v>0</v>
      </c>
      <c r="L29" s="146">
        <f t="shared" si="1"/>
        <v>0</v>
      </c>
      <c r="M29" s="146">
        <f t="shared" si="2"/>
        <v>0</v>
      </c>
      <c r="N29" s="146">
        <f t="shared" si="3"/>
        <v>0</v>
      </c>
      <c r="O29" s="471">
        <f t="shared" si="4"/>
        <v>0</v>
      </c>
      <c r="P29" s="160">
        <f>'CMF - Values'!$C$20</f>
        <v>0.95</v>
      </c>
      <c r="Q29" s="160">
        <f>'CMF - Values'!$C$6</f>
        <v>0.76</v>
      </c>
      <c r="R29" s="160">
        <f>'CMF - Values'!$C$5</f>
        <v>0.93</v>
      </c>
      <c r="S29" s="160">
        <f>'CMF - Values'!$C$16</f>
        <v>0.9</v>
      </c>
      <c r="T29" s="160">
        <f>'CMF - Values'!$C$12</f>
        <v>0.57999999999999996</v>
      </c>
      <c r="U29" s="160">
        <f>'CMF - Values'!$C$10</f>
        <v>0.85</v>
      </c>
      <c r="V29" s="160">
        <f>'CMF - Values'!$C$9</f>
        <v>0.75</v>
      </c>
      <c r="W29" s="160">
        <f>'CMF - Values'!$C$18</f>
        <v>0.7</v>
      </c>
      <c r="X29" s="160">
        <f>'CMF - Values'!$C$15</f>
        <v>0.6</v>
      </c>
      <c r="Y29" s="160">
        <f>'CMF - Values'!$C$17</f>
        <v>0.75</v>
      </c>
      <c r="Z29" s="182">
        <f t="shared" si="8"/>
        <v>0.24359999999999996</v>
      </c>
      <c r="AA29" s="177">
        <f>'CMF - Values'!$C$20</f>
        <v>0.95</v>
      </c>
      <c r="AB29" s="160">
        <f>'CMF - Values'!$C$6</f>
        <v>0.76</v>
      </c>
      <c r="AC29" s="160">
        <f>'CMF - Values'!$C$4</f>
        <v>0.85</v>
      </c>
      <c r="AD29" s="160">
        <f>'CMF - Values'!$C$16</f>
        <v>0.9</v>
      </c>
      <c r="AE29" s="160">
        <f>'CMF - Values'!$C$12</f>
        <v>0.57999999999999996</v>
      </c>
      <c r="AF29" s="160">
        <f>'CMF - Values'!$C$10</f>
        <v>0.85</v>
      </c>
      <c r="AG29" s="160">
        <f>'CMF - Values'!$C$9</f>
        <v>0.75</v>
      </c>
      <c r="AH29" s="160">
        <f>'CMF - Values'!$C$18</f>
        <v>0.7</v>
      </c>
      <c r="AI29" s="160">
        <f>'CMF - Values'!$C$15</f>
        <v>0.6</v>
      </c>
      <c r="AJ29" s="160">
        <f>'CMF - Values'!$C$17</f>
        <v>0.75</v>
      </c>
      <c r="AK29" s="182">
        <f t="shared" si="9"/>
        <v>0.24359999999999996</v>
      </c>
      <c r="AL29" s="177">
        <f>'CMF - Values'!$C$20</f>
        <v>0.95</v>
      </c>
      <c r="AM29" s="160">
        <f>'CMF - Values'!$C$6</f>
        <v>0.76</v>
      </c>
      <c r="AN29" s="160">
        <f>'CMF - Values'!$C$4</f>
        <v>0.85</v>
      </c>
      <c r="AO29" s="160">
        <f>'CMF - Values'!$C$16</f>
        <v>0.9</v>
      </c>
      <c r="AP29" s="160">
        <f>'CMF - Values'!$C$12</f>
        <v>0.57999999999999996</v>
      </c>
      <c r="AQ29" s="160">
        <f>'CMF - Values'!$C$10</f>
        <v>0.85</v>
      </c>
      <c r="AR29" s="160">
        <f>'CMF - Values'!$C$9</f>
        <v>0.75</v>
      </c>
      <c r="AS29" s="160">
        <f>'CMF - Values'!$C$18</f>
        <v>0.7</v>
      </c>
      <c r="AT29" s="160">
        <f>'CMF - Values'!$C$15</f>
        <v>0.6</v>
      </c>
      <c r="AU29" s="160">
        <f>'CMF - Values'!$C$17</f>
        <v>0.75</v>
      </c>
      <c r="AV29" s="182">
        <f t="shared" si="10"/>
        <v>0.24359999999999996</v>
      </c>
      <c r="AW29" s="177">
        <f>'CMF - Values'!$C$20</f>
        <v>0.95</v>
      </c>
      <c r="AX29" s="160">
        <f>'CMF - Values'!$C$6</f>
        <v>0.76</v>
      </c>
      <c r="AY29" s="160">
        <f>'CMF - Values'!$C$4</f>
        <v>0.85</v>
      </c>
      <c r="AZ29" s="160">
        <f>'CMF - Values'!$C$16</f>
        <v>0.9</v>
      </c>
      <c r="BA29" s="160">
        <f>'CMF - Values'!$C$12</f>
        <v>0.57999999999999996</v>
      </c>
      <c r="BB29" s="160">
        <f>'CMF - Values'!$C$10</f>
        <v>0.85</v>
      </c>
      <c r="BC29" s="160">
        <f>'CMF - Values'!$C$9</f>
        <v>0.75</v>
      </c>
      <c r="BD29" s="160">
        <f>'CMF - Values'!$C$18</f>
        <v>0.7</v>
      </c>
      <c r="BE29" s="160">
        <f>'CMF - Values'!$C$15</f>
        <v>0.6</v>
      </c>
      <c r="BF29" s="160">
        <f>'CMF - Values'!$C$17</f>
        <v>0.75</v>
      </c>
      <c r="BG29" s="182">
        <f t="shared" si="11"/>
        <v>0.24359999999999996</v>
      </c>
      <c r="BH29" s="160">
        <f>'CMF - Values'!$C$20</f>
        <v>0.95</v>
      </c>
      <c r="BI29" s="160">
        <f>'CMF - Values'!$C$6</f>
        <v>0.76</v>
      </c>
      <c r="BJ29" s="160">
        <f>'CMF - Values'!$C$4</f>
        <v>0.85</v>
      </c>
      <c r="BK29" s="160">
        <f>'CMF - Values'!$C$16</f>
        <v>0.9</v>
      </c>
      <c r="BL29" s="160">
        <f>'CMF - Values'!$C$12</f>
        <v>0.57999999999999996</v>
      </c>
      <c r="BM29" s="160">
        <f>'CMF - Values'!$C$10</f>
        <v>0.85</v>
      </c>
      <c r="BN29" s="160">
        <f>'CMF - Values'!$C$9</f>
        <v>0.75</v>
      </c>
      <c r="BO29" s="160">
        <f>'CMF - Values'!$C$18</f>
        <v>0.7</v>
      </c>
      <c r="BP29" s="160">
        <f>'CMF - Values'!$C$15</f>
        <v>0.6</v>
      </c>
      <c r="BQ29" s="160">
        <f>'CMF - Values'!$C$17</f>
        <v>0.75</v>
      </c>
      <c r="BR29" s="187">
        <f t="shared" si="12"/>
        <v>0.24359999999999996</v>
      </c>
      <c r="BS29" s="189">
        <f t="shared" si="5"/>
        <v>0</v>
      </c>
      <c r="BT29" s="189">
        <f t="shared" si="6"/>
        <v>0</v>
      </c>
      <c r="BU29" s="189">
        <f t="shared" si="13"/>
        <v>0</v>
      </c>
      <c r="BV29" s="189">
        <f t="shared" si="14"/>
        <v>0</v>
      </c>
      <c r="BW29" s="139">
        <f t="shared" si="7"/>
        <v>0</v>
      </c>
      <c r="BX29" s="193">
        <f>BS29*'KABCO Level - Values'!$B$4</f>
        <v>0</v>
      </c>
      <c r="BY29" s="193">
        <f>BT29*'KABCO Level - Values'!$B$5</f>
        <v>0</v>
      </c>
      <c r="BZ29" s="193">
        <f>BU29*'KABCO Level - Values'!$B$6</f>
        <v>0</v>
      </c>
      <c r="CA29" s="193">
        <f>BV29*'KABCO Level - Values'!$B$7</f>
        <v>0</v>
      </c>
      <c r="CB29" s="196">
        <f>BW29*'KABCO Level - Values'!$B$8</f>
        <v>0</v>
      </c>
      <c r="CD29" s="302"/>
    </row>
    <row r="30" spans="1:82" s="123" customFormat="1" x14ac:dyDescent="0.25">
      <c r="A30" s="517"/>
      <c r="B30" s="511"/>
      <c r="C30" s="520"/>
      <c r="D30" s="493"/>
      <c r="E30" s="154" t="s">
        <v>205</v>
      </c>
      <c r="F30" s="113">
        <v>0</v>
      </c>
      <c r="G30" s="113">
        <v>0</v>
      </c>
      <c r="H30" s="113">
        <v>0</v>
      </c>
      <c r="I30" s="113">
        <v>0</v>
      </c>
      <c r="J30" s="118">
        <v>0</v>
      </c>
      <c r="K30" s="468">
        <f t="shared" si="0"/>
        <v>0</v>
      </c>
      <c r="L30" s="138">
        <f t="shared" si="1"/>
        <v>0</v>
      </c>
      <c r="M30" s="138">
        <f t="shared" si="2"/>
        <v>0</v>
      </c>
      <c r="N30" s="138">
        <f t="shared" si="3"/>
        <v>0</v>
      </c>
      <c r="O30" s="139">
        <f t="shared" si="4"/>
        <v>0</v>
      </c>
      <c r="P30" s="158">
        <f>'CMF - Values'!$C$20</f>
        <v>0.95</v>
      </c>
      <c r="Q30" s="158">
        <f>'CMF - Values'!$C$6</f>
        <v>0.76</v>
      </c>
      <c r="R30" s="158">
        <f>'CMF - Values'!$C$5</f>
        <v>0.93</v>
      </c>
      <c r="S30" s="158">
        <f>'CMF - Values'!$C$16</f>
        <v>0.9</v>
      </c>
      <c r="T30" s="158">
        <f>'CMF - Values'!$C$12</f>
        <v>0.57999999999999996</v>
      </c>
      <c r="U30" s="158">
        <f>'CMF - Values'!$C$10</f>
        <v>0.85</v>
      </c>
      <c r="V30" s="158">
        <f>'CMF - Values'!$C$9</f>
        <v>0.75</v>
      </c>
      <c r="W30" s="158">
        <f>'CMF - Values'!$C$18</f>
        <v>0.7</v>
      </c>
      <c r="X30" s="158">
        <f>'CMF - Values'!$C$14</f>
        <v>0.88249690258459546</v>
      </c>
      <c r="Y30" s="158"/>
      <c r="Z30" s="179">
        <f t="shared" si="8"/>
        <v>0.30449999999999999</v>
      </c>
      <c r="AA30" s="164">
        <f>'CMF - Values'!$C$20</f>
        <v>0.95</v>
      </c>
      <c r="AB30" s="158">
        <f>'CMF - Values'!$C$6</f>
        <v>0.76</v>
      </c>
      <c r="AC30" s="158">
        <f>'CMF - Values'!$C$4</f>
        <v>0.85</v>
      </c>
      <c r="AD30" s="158">
        <f>'CMF - Values'!$C$16</f>
        <v>0.9</v>
      </c>
      <c r="AE30" s="158">
        <f>'CMF - Values'!$C$12</f>
        <v>0.57999999999999996</v>
      </c>
      <c r="AF30" s="158">
        <f>'CMF - Values'!$C$10</f>
        <v>0.85</v>
      </c>
      <c r="AG30" s="158">
        <f>'CMF - Values'!$C$9</f>
        <v>0.75</v>
      </c>
      <c r="AH30" s="158">
        <f>'CMF - Values'!$C$18</f>
        <v>0.7</v>
      </c>
      <c r="AI30" s="158">
        <f>'CMF - Values'!$C$14</f>
        <v>0.88249690258459546</v>
      </c>
      <c r="AJ30" s="158"/>
      <c r="AK30" s="179">
        <f t="shared" si="9"/>
        <v>0.30449999999999999</v>
      </c>
      <c r="AL30" s="164">
        <f>'CMF - Values'!$C$20</f>
        <v>0.95</v>
      </c>
      <c r="AM30" s="158">
        <f>'CMF - Values'!$C$6</f>
        <v>0.76</v>
      </c>
      <c r="AN30" s="158">
        <f>'CMF - Values'!$C$4</f>
        <v>0.85</v>
      </c>
      <c r="AO30" s="158">
        <f>'CMF - Values'!$C$16</f>
        <v>0.9</v>
      </c>
      <c r="AP30" s="158">
        <f>'CMF - Values'!$C$12</f>
        <v>0.57999999999999996</v>
      </c>
      <c r="AQ30" s="158">
        <f>'CMF - Values'!$C$10</f>
        <v>0.85</v>
      </c>
      <c r="AR30" s="158">
        <f>'CMF - Values'!$C$9</f>
        <v>0.75</v>
      </c>
      <c r="AS30" s="158">
        <f>'CMF - Values'!$C$18</f>
        <v>0.7</v>
      </c>
      <c r="AT30" s="158">
        <f>'CMF - Values'!$C$14</f>
        <v>0.88249690258459546</v>
      </c>
      <c r="AU30" s="158"/>
      <c r="AV30" s="179">
        <f t="shared" si="10"/>
        <v>0.30449999999999999</v>
      </c>
      <c r="AW30" s="164">
        <f>'CMF - Values'!$C$20</f>
        <v>0.95</v>
      </c>
      <c r="AX30" s="158">
        <f>'CMF - Values'!$C$6</f>
        <v>0.76</v>
      </c>
      <c r="AY30" s="158">
        <f>'CMF - Values'!$C$4</f>
        <v>0.85</v>
      </c>
      <c r="AZ30" s="158">
        <f>'CMF - Values'!$C$16</f>
        <v>0.9</v>
      </c>
      <c r="BA30" s="158">
        <f>'CMF - Values'!$C$12</f>
        <v>0.57999999999999996</v>
      </c>
      <c r="BB30" s="158">
        <f>'CMF - Values'!$C$10</f>
        <v>0.85</v>
      </c>
      <c r="BC30" s="158">
        <f>'CMF - Values'!$C$9</f>
        <v>0.75</v>
      </c>
      <c r="BD30" s="158">
        <f>'CMF - Values'!$C$18</f>
        <v>0.7</v>
      </c>
      <c r="BE30" s="158">
        <f>'CMF - Values'!$C$14</f>
        <v>0.88249690258459546</v>
      </c>
      <c r="BF30" s="158"/>
      <c r="BG30" s="179">
        <f t="shared" si="11"/>
        <v>0.30449999999999999</v>
      </c>
      <c r="BH30" s="158">
        <f>'CMF - Values'!$C$20</f>
        <v>0.95</v>
      </c>
      <c r="BI30" s="158">
        <f>'CMF - Values'!$C$6</f>
        <v>0.76</v>
      </c>
      <c r="BJ30" s="158">
        <f>'CMF - Values'!$C$4</f>
        <v>0.85</v>
      </c>
      <c r="BK30" s="158">
        <f>'CMF - Values'!$C$16</f>
        <v>0.9</v>
      </c>
      <c r="BL30" s="158">
        <f>'CMF - Values'!$C$12</f>
        <v>0.57999999999999996</v>
      </c>
      <c r="BM30" s="158">
        <f>'CMF - Values'!$C$10</f>
        <v>0.85</v>
      </c>
      <c r="BN30" s="158">
        <f>'CMF - Values'!$C$9</f>
        <v>0.75</v>
      </c>
      <c r="BO30" s="158">
        <f>'CMF - Values'!$C$18</f>
        <v>0.7</v>
      </c>
      <c r="BP30" s="158">
        <f>'CMF - Values'!$C$14</f>
        <v>0.88249690258459546</v>
      </c>
      <c r="BQ30" s="158"/>
      <c r="BR30" s="184">
        <f t="shared" si="12"/>
        <v>0.30449999999999999</v>
      </c>
      <c r="BS30" s="189">
        <f t="shared" si="5"/>
        <v>0</v>
      </c>
      <c r="BT30" s="189">
        <f t="shared" si="6"/>
        <v>0</v>
      </c>
      <c r="BU30" s="189">
        <f t="shared" si="13"/>
        <v>0</v>
      </c>
      <c r="BV30" s="189">
        <f t="shared" si="14"/>
        <v>0</v>
      </c>
      <c r="BW30" s="139">
        <f t="shared" si="7"/>
        <v>0</v>
      </c>
      <c r="BX30" s="193">
        <f>BS30*'KABCO Level - Values'!$B$4</f>
        <v>0</v>
      </c>
      <c r="BY30" s="193">
        <f>BT30*'KABCO Level - Values'!$B$5</f>
        <v>0</v>
      </c>
      <c r="BZ30" s="193">
        <f>BU30*'KABCO Level - Values'!$B$6</f>
        <v>0</v>
      </c>
      <c r="CA30" s="193">
        <f>BV30*'KABCO Level - Values'!$B$7</f>
        <v>0</v>
      </c>
      <c r="CB30" s="196">
        <f>BW30*'KABCO Level - Values'!$B$8</f>
        <v>0</v>
      </c>
      <c r="CD30" s="302"/>
    </row>
    <row r="31" spans="1:82" s="123" customFormat="1" x14ac:dyDescent="0.25">
      <c r="A31" s="517"/>
      <c r="B31" s="511"/>
      <c r="C31" s="520"/>
      <c r="D31" s="493"/>
      <c r="E31" s="155" t="s">
        <v>202</v>
      </c>
      <c r="F31" s="308">
        <v>126.49</v>
      </c>
      <c r="G31" s="116">
        <v>37</v>
      </c>
      <c r="H31" s="116">
        <v>10</v>
      </c>
      <c r="I31" s="116">
        <v>4</v>
      </c>
      <c r="J31" s="119">
        <v>2</v>
      </c>
      <c r="K31" s="469">
        <f t="shared" si="0"/>
        <v>25.297999999999998</v>
      </c>
      <c r="L31" s="142">
        <f t="shared" si="1"/>
        <v>7.4</v>
      </c>
      <c r="M31" s="142">
        <f t="shared" si="2"/>
        <v>2</v>
      </c>
      <c r="N31" s="142">
        <f t="shared" si="3"/>
        <v>0.8</v>
      </c>
      <c r="O31" s="143">
        <f t="shared" si="4"/>
        <v>0.4</v>
      </c>
      <c r="P31" s="159">
        <f>'CMF - Values'!$C$20</f>
        <v>0.95</v>
      </c>
      <c r="Q31" s="159">
        <f>'CMF - Values'!$C$6</f>
        <v>0.76</v>
      </c>
      <c r="R31" s="159">
        <f>'CMF - Values'!$C$5</f>
        <v>0.93</v>
      </c>
      <c r="S31" s="159">
        <f>'CMF - Values'!$C$16</f>
        <v>0.9</v>
      </c>
      <c r="T31" s="159">
        <f>'CMF - Values'!$C$12</f>
        <v>0.57999999999999996</v>
      </c>
      <c r="U31" s="159">
        <f>'CMF - Values'!$C$10</f>
        <v>0.85</v>
      </c>
      <c r="V31" s="159">
        <f>'CMF - Values'!$C$9</f>
        <v>0.75</v>
      </c>
      <c r="W31" s="159">
        <f>'CMF - Values'!$C$18</f>
        <v>0.7</v>
      </c>
      <c r="X31" s="159"/>
      <c r="Y31" s="159"/>
      <c r="Z31" s="180">
        <f t="shared" si="8"/>
        <v>0.30449999999999999</v>
      </c>
      <c r="AA31" s="176">
        <f>'CMF - Values'!$C$20</f>
        <v>0.95</v>
      </c>
      <c r="AB31" s="159">
        <f>'CMF - Values'!$C$6</f>
        <v>0.76</v>
      </c>
      <c r="AC31" s="159">
        <f>'CMF - Values'!$C$4</f>
        <v>0.85</v>
      </c>
      <c r="AD31" s="159">
        <f>'CMF - Values'!$C$16</f>
        <v>0.9</v>
      </c>
      <c r="AE31" s="159">
        <f>'CMF - Values'!$C$12</f>
        <v>0.57999999999999996</v>
      </c>
      <c r="AF31" s="159">
        <f>'CMF - Values'!$C$10</f>
        <v>0.85</v>
      </c>
      <c r="AG31" s="159">
        <f>'CMF - Values'!$C$9</f>
        <v>0.75</v>
      </c>
      <c r="AH31" s="159">
        <f>'CMF - Values'!$C$18</f>
        <v>0.7</v>
      </c>
      <c r="AI31" s="159"/>
      <c r="AJ31" s="159"/>
      <c r="AK31" s="180">
        <f t="shared" si="9"/>
        <v>0.30449999999999999</v>
      </c>
      <c r="AL31" s="176">
        <f>'CMF - Values'!$C$20</f>
        <v>0.95</v>
      </c>
      <c r="AM31" s="159">
        <f>'CMF - Values'!$C$6</f>
        <v>0.76</v>
      </c>
      <c r="AN31" s="159">
        <f>'CMF - Values'!$C$4</f>
        <v>0.85</v>
      </c>
      <c r="AO31" s="159">
        <f>'CMF - Values'!$C$16</f>
        <v>0.9</v>
      </c>
      <c r="AP31" s="159">
        <f>'CMF - Values'!$C$12</f>
        <v>0.57999999999999996</v>
      </c>
      <c r="AQ31" s="159">
        <f>'CMF - Values'!$C$10</f>
        <v>0.85</v>
      </c>
      <c r="AR31" s="159">
        <f>'CMF - Values'!$C$9</f>
        <v>0.75</v>
      </c>
      <c r="AS31" s="159">
        <f>'CMF - Values'!$C$18</f>
        <v>0.7</v>
      </c>
      <c r="AT31" s="159"/>
      <c r="AU31" s="159"/>
      <c r="AV31" s="180">
        <f t="shared" si="10"/>
        <v>0.30449999999999999</v>
      </c>
      <c r="AW31" s="176">
        <f>'CMF - Values'!$C$20</f>
        <v>0.95</v>
      </c>
      <c r="AX31" s="159">
        <f>'CMF - Values'!$C$6</f>
        <v>0.76</v>
      </c>
      <c r="AY31" s="159">
        <f>'CMF - Values'!$C$4</f>
        <v>0.85</v>
      </c>
      <c r="AZ31" s="159">
        <f>'CMF - Values'!$C$16</f>
        <v>0.9</v>
      </c>
      <c r="BA31" s="159">
        <f>'CMF - Values'!$C$12</f>
        <v>0.57999999999999996</v>
      </c>
      <c r="BB31" s="159">
        <f>'CMF - Values'!$C$10</f>
        <v>0.85</v>
      </c>
      <c r="BC31" s="159">
        <f>'CMF - Values'!$C$9</f>
        <v>0.75</v>
      </c>
      <c r="BD31" s="159">
        <f>'CMF - Values'!$C$18</f>
        <v>0.7</v>
      </c>
      <c r="BE31" s="159"/>
      <c r="BF31" s="159"/>
      <c r="BG31" s="180">
        <f t="shared" si="11"/>
        <v>0.30449999999999999</v>
      </c>
      <c r="BH31" s="159">
        <f>'CMF - Values'!$C$20</f>
        <v>0.95</v>
      </c>
      <c r="BI31" s="159">
        <f>'CMF - Values'!$C$6</f>
        <v>0.76</v>
      </c>
      <c r="BJ31" s="159">
        <f>'CMF - Values'!$C$4</f>
        <v>0.85</v>
      </c>
      <c r="BK31" s="159">
        <f>'CMF - Values'!$C$16</f>
        <v>0.9</v>
      </c>
      <c r="BL31" s="159">
        <f>'CMF - Values'!$C$12</f>
        <v>0.57999999999999996</v>
      </c>
      <c r="BM31" s="159">
        <f>'CMF - Values'!$C$10</f>
        <v>0.85</v>
      </c>
      <c r="BN31" s="159">
        <f>'CMF - Values'!$C$9</f>
        <v>0.75</v>
      </c>
      <c r="BO31" s="159">
        <f>'CMF - Values'!$C$18</f>
        <v>0.7</v>
      </c>
      <c r="BP31" s="159"/>
      <c r="BQ31" s="159"/>
      <c r="BR31" s="186">
        <f t="shared" si="12"/>
        <v>0.30449999999999999</v>
      </c>
      <c r="BS31" s="124">
        <f t="shared" si="5"/>
        <v>17.594759</v>
      </c>
      <c r="BT31" s="124">
        <f t="shared" si="6"/>
        <v>5.1467000000000001</v>
      </c>
      <c r="BU31" s="124">
        <f t="shared" si="13"/>
        <v>1.391</v>
      </c>
      <c r="BV31" s="124">
        <f t="shared" si="14"/>
        <v>0.55640000000000001</v>
      </c>
      <c r="BW31" s="143">
        <f t="shared" si="7"/>
        <v>0.2782</v>
      </c>
      <c r="BX31" s="194">
        <f>BS31*'KABCO Level - Values'!$B$4</f>
        <v>56303.228799999997</v>
      </c>
      <c r="BY31" s="194">
        <f>BT31*'KABCO Level - Values'!$B$5</f>
        <v>328874.13</v>
      </c>
      <c r="BZ31" s="194">
        <f>BU31*'KABCO Level - Values'!$B$6</f>
        <v>173875</v>
      </c>
      <c r="CA31" s="194">
        <f>BV31*'KABCO Level - Values'!$B$7</f>
        <v>255443.24</v>
      </c>
      <c r="CB31" s="197">
        <f>BW31*'KABCO Level - Values'!$B$8</f>
        <v>2670720</v>
      </c>
      <c r="CD31" s="302"/>
    </row>
    <row r="32" spans="1:82" s="123" customFormat="1" x14ac:dyDescent="0.25">
      <c r="A32" s="517"/>
      <c r="B32" s="511"/>
      <c r="C32" s="520"/>
      <c r="D32" s="493" t="s">
        <v>203</v>
      </c>
      <c r="E32" s="156" t="s">
        <v>204</v>
      </c>
      <c r="F32" s="115">
        <v>0</v>
      </c>
      <c r="G32" s="115">
        <v>0</v>
      </c>
      <c r="H32" s="115">
        <v>0</v>
      </c>
      <c r="I32" s="115">
        <v>0</v>
      </c>
      <c r="J32" s="117">
        <v>0</v>
      </c>
      <c r="K32" s="470">
        <f t="shared" si="0"/>
        <v>0</v>
      </c>
      <c r="L32" s="146">
        <f t="shared" si="1"/>
        <v>0</v>
      </c>
      <c r="M32" s="146">
        <f t="shared" si="2"/>
        <v>0</v>
      </c>
      <c r="N32" s="146">
        <f t="shared" si="3"/>
        <v>0</v>
      </c>
      <c r="O32" s="471">
        <f t="shared" si="4"/>
        <v>0</v>
      </c>
      <c r="P32" s="160">
        <f>'CMF - Values'!$C$20</f>
        <v>0.95</v>
      </c>
      <c r="Q32" s="160">
        <f>'CMF - Values'!$C$6</f>
        <v>0.76</v>
      </c>
      <c r="R32" s="160">
        <f>'CMF - Values'!$C$5</f>
        <v>0.93</v>
      </c>
      <c r="S32" s="160">
        <f>'CMF - Values'!$C$16</f>
        <v>0.9</v>
      </c>
      <c r="T32" s="160">
        <f>'CMF - Values'!$C$11</f>
        <v>0.9</v>
      </c>
      <c r="U32" s="160">
        <f>'CMF - Values'!$C$10</f>
        <v>0.85</v>
      </c>
      <c r="V32" s="160">
        <f>'CMF - Values'!$C$9</f>
        <v>0.75</v>
      </c>
      <c r="W32" s="160">
        <f>'CMF - Values'!$C$19</f>
        <v>0.9</v>
      </c>
      <c r="X32" s="160">
        <f>'CMF - Values'!$C$15</f>
        <v>0.6</v>
      </c>
      <c r="Y32" s="160">
        <f>'CMF - Values'!$C$17</f>
        <v>0.75</v>
      </c>
      <c r="Z32" s="182">
        <f t="shared" si="8"/>
        <v>0.33749999999999997</v>
      </c>
      <c r="AA32" s="177">
        <f>'CMF - Values'!$C$20</f>
        <v>0.95</v>
      </c>
      <c r="AB32" s="160">
        <f>'CMF - Values'!$C$6</f>
        <v>0.76</v>
      </c>
      <c r="AC32" s="160">
        <f>'CMF - Values'!$C$4</f>
        <v>0.85</v>
      </c>
      <c r="AD32" s="160">
        <f>'CMF - Values'!$C$16</f>
        <v>0.9</v>
      </c>
      <c r="AE32" s="160">
        <f>'CMF - Values'!$C$11</f>
        <v>0.9</v>
      </c>
      <c r="AF32" s="160">
        <f>'CMF - Values'!$C$10</f>
        <v>0.85</v>
      </c>
      <c r="AG32" s="160">
        <f>'CMF - Values'!$C$9</f>
        <v>0.75</v>
      </c>
      <c r="AH32" s="160">
        <f>'CMF - Values'!$C$19</f>
        <v>0.9</v>
      </c>
      <c r="AI32" s="160">
        <f>'CMF - Values'!$C$15</f>
        <v>0.6</v>
      </c>
      <c r="AJ32" s="160">
        <f>'CMF - Values'!$C$17</f>
        <v>0.75</v>
      </c>
      <c r="AK32" s="182">
        <f t="shared" si="9"/>
        <v>0.33749999999999997</v>
      </c>
      <c r="AL32" s="177">
        <f>'CMF - Values'!$C$20</f>
        <v>0.95</v>
      </c>
      <c r="AM32" s="160">
        <f>'CMF - Values'!$C$6</f>
        <v>0.76</v>
      </c>
      <c r="AN32" s="160">
        <f>'CMF - Values'!$C$4</f>
        <v>0.85</v>
      </c>
      <c r="AO32" s="160">
        <f>'CMF - Values'!$C$16</f>
        <v>0.9</v>
      </c>
      <c r="AP32" s="160">
        <f>'CMF - Values'!$C$11</f>
        <v>0.9</v>
      </c>
      <c r="AQ32" s="160">
        <f>'CMF - Values'!$C$10</f>
        <v>0.85</v>
      </c>
      <c r="AR32" s="160">
        <f>'CMF - Values'!$C$9</f>
        <v>0.75</v>
      </c>
      <c r="AS32" s="160">
        <f>'CMF - Values'!$C$19</f>
        <v>0.9</v>
      </c>
      <c r="AT32" s="160">
        <f>'CMF - Values'!$C$15</f>
        <v>0.6</v>
      </c>
      <c r="AU32" s="160">
        <f>'CMF - Values'!$C$17</f>
        <v>0.75</v>
      </c>
      <c r="AV32" s="182">
        <f t="shared" si="10"/>
        <v>0.33749999999999997</v>
      </c>
      <c r="AW32" s="177">
        <f>'CMF - Values'!$C$20</f>
        <v>0.95</v>
      </c>
      <c r="AX32" s="160">
        <f>'CMF - Values'!$C$6</f>
        <v>0.76</v>
      </c>
      <c r="AY32" s="160">
        <f>'CMF - Values'!$C$4</f>
        <v>0.85</v>
      </c>
      <c r="AZ32" s="160">
        <f>'CMF - Values'!$C$16</f>
        <v>0.9</v>
      </c>
      <c r="BA32" s="160">
        <f>'CMF - Values'!$C$11</f>
        <v>0.9</v>
      </c>
      <c r="BB32" s="160">
        <f>'CMF - Values'!$C$10</f>
        <v>0.85</v>
      </c>
      <c r="BC32" s="160">
        <f>'CMF - Values'!$C$9</f>
        <v>0.75</v>
      </c>
      <c r="BD32" s="160">
        <f>'CMF - Values'!$C$19</f>
        <v>0.9</v>
      </c>
      <c r="BE32" s="160">
        <f>'CMF - Values'!$C$15</f>
        <v>0.6</v>
      </c>
      <c r="BF32" s="160">
        <f>'CMF - Values'!$C$17</f>
        <v>0.75</v>
      </c>
      <c r="BG32" s="182">
        <f t="shared" si="11"/>
        <v>0.33749999999999997</v>
      </c>
      <c r="BH32" s="160">
        <f>'CMF - Values'!$C$20</f>
        <v>0.95</v>
      </c>
      <c r="BI32" s="160">
        <f>'CMF - Values'!$C$6</f>
        <v>0.76</v>
      </c>
      <c r="BJ32" s="160">
        <f>'CMF - Values'!$C$4</f>
        <v>0.85</v>
      </c>
      <c r="BK32" s="160">
        <f>'CMF - Values'!$C$16</f>
        <v>0.9</v>
      </c>
      <c r="BL32" s="160">
        <f>'CMF - Values'!$C$11</f>
        <v>0.9</v>
      </c>
      <c r="BM32" s="160">
        <f>'CMF - Values'!$C$10</f>
        <v>0.85</v>
      </c>
      <c r="BN32" s="160">
        <f>'CMF - Values'!$C$9</f>
        <v>0.75</v>
      </c>
      <c r="BO32" s="160">
        <f>'CMF - Values'!$C$19</f>
        <v>0.9</v>
      </c>
      <c r="BP32" s="160">
        <f>'CMF - Values'!$C$15</f>
        <v>0.6</v>
      </c>
      <c r="BQ32" s="160">
        <f>'CMF - Values'!$C$17</f>
        <v>0.75</v>
      </c>
      <c r="BR32" s="187">
        <f t="shared" si="12"/>
        <v>0.33749999999999997</v>
      </c>
      <c r="BS32" s="189">
        <f t="shared" si="5"/>
        <v>0</v>
      </c>
      <c r="BT32" s="189">
        <f t="shared" si="6"/>
        <v>0</v>
      </c>
      <c r="BU32" s="189">
        <f t="shared" si="13"/>
        <v>0</v>
      </c>
      <c r="BV32" s="189">
        <f t="shared" si="14"/>
        <v>0</v>
      </c>
      <c r="BW32" s="139">
        <f t="shared" si="7"/>
        <v>0</v>
      </c>
      <c r="BX32" s="193">
        <f>BS32*'KABCO Level - Values'!$B$4</f>
        <v>0</v>
      </c>
      <c r="BY32" s="193">
        <f>BT32*'KABCO Level - Values'!$B$5</f>
        <v>0</v>
      </c>
      <c r="BZ32" s="193">
        <f>BU32*'KABCO Level - Values'!$B$6</f>
        <v>0</v>
      </c>
      <c r="CA32" s="193">
        <f>BV32*'KABCO Level - Values'!$B$7</f>
        <v>0</v>
      </c>
      <c r="CB32" s="196">
        <f>BW32*'KABCO Level - Values'!$B$8</f>
        <v>0</v>
      </c>
      <c r="CD32" s="302"/>
    </row>
    <row r="33" spans="1:82" s="123" customFormat="1" x14ac:dyDescent="0.25">
      <c r="A33" s="517"/>
      <c r="B33" s="511"/>
      <c r="C33" s="520"/>
      <c r="D33" s="493"/>
      <c r="E33" s="154" t="s">
        <v>174</v>
      </c>
      <c r="F33" s="113">
        <v>0</v>
      </c>
      <c r="G33" s="113">
        <v>0</v>
      </c>
      <c r="H33" s="113">
        <v>0</v>
      </c>
      <c r="I33" s="113">
        <v>0</v>
      </c>
      <c r="J33" s="118">
        <v>0</v>
      </c>
      <c r="K33" s="468">
        <f t="shared" si="0"/>
        <v>0</v>
      </c>
      <c r="L33" s="138">
        <f t="shared" si="1"/>
        <v>0</v>
      </c>
      <c r="M33" s="138">
        <f t="shared" si="2"/>
        <v>0</v>
      </c>
      <c r="N33" s="138">
        <f t="shared" si="3"/>
        <v>0</v>
      </c>
      <c r="O33" s="139">
        <f t="shared" si="4"/>
        <v>0</v>
      </c>
      <c r="P33" s="158">
        <f>'CMF - Values'!$C$20</f>
        <v>0.95</v>
      </c>
      <c r="Q33" s="158">
        <f>'CMF - Values'!$C$6</f>
        <v>0.76</v>
      </c>
      <c r="R33" s="158">
        <f>'CMF - Values'!$C$5</f>
        <v>0.93</v>
      </c>
      <c r="S33" s="158">
        <f>'CMF - Values'!$C$16</f>
        <v>0.9</v>
      </c>
      <c r="T33" s="158">
        <f>'CMF - Values'!$C$11</f>
        <v>0.9</v>
      </c>
      <c r="U33" s="158">
        <f>'CMF - Values'!$C$10</f>
        <v>0.85</v>
      </c>
      <c r="V33" s="158">
        <f>'CMF - Values'!$C$9</f>
        <v>0.75</v>
      </c>
      <c r="W33" s="158">
        <f>'CMF - Values'!$C$19</f>
        <v>0.9</v>
      </c>
      <c r="X33" s="158">
        <f>'CMF - Values'!$C$14</f>
        <v>0.88249690258459546</v>
      </c>
      <c r="Y33" s="158"/>
      <c r="Z33" s="179">
        <f t="shared" si="8"/>
        <v>0.48450000000000004</v>
      </c>
      <c r="AA33" s="164">
        <f>'CMF - Values'!$C$20</f>
        <v>0.95</v>
      </c>
      <c r="AB33" s="158">
        <f>'CMF - Values'!$C$6</f>
        <v>0.76</v>
      </c>
      <c r="AC33" s="158">
        <f>'CMF - Values'!$C$4</f>
        <v>0.85</v>
      </c>
      <c r="AD33" s="158">
        <f>'CMF - Values'!$C$16</f>
        <v>0.9</v>
      </c>
      <c r="AE33" s="158">
        <f>'CMF - Values'!$C$11</f>
        <v>0.9</v>
      </c>
      <c r="AF33" s="158">
        <f>'CMF - Values'!$C$10</f>
        <v>0.85</v>
      </c>
      <c r="AG33" s="158">
        <f>'CMF - Values'!$C$9</f>
        <v>0.75</v>
      </c>
      <c r="AH33" s="158">
        <f>'CMF - Values'!$C$19</f>
        <v>0.9</v>
      </c>
      <c r="AI33" s="158">
        <f>'CMF - Values'!$C$14</f>
        <v>0.88249690258459546</v>
      </c>
      <c r="AJ33" s="158"/>
      <c r="AK33" s="179">
        <f t="shared" si="9"/>
        <v>0.48450000000000004</v>
      </c>
      <c r="AL33" s="164">
        <f>'CMF - Values'!$C$20</f>
        <v>0.95</v>
      </c>
      <c r="AM33" s="158">
        <f>'CMF - Values'!$C$6</f>
        <v>0.76</v>
      </c>
      <c r="AN33" s="158">
        <f>'CMF - Values'!$C$4</f>
        <v>0.85</v>
      </c>
      <c r="AO33" s="158">
        <f>'CMF - Values'!$C$16</f>
        <v>0.9</v>
      </c>
      <c r="AP33" s="158">
        <f>'CMF - Values'!$C$11</f>
        <v>0.9</v>
      </c>
      <c r="AQ33" s="158">
        <f>'CMF - Values'!$C$10</f>
        <v>0.85</v>
      </c>
      <c r="AR33" s="158">
        <f>'CMF - Values'!$C$9</f>
        <v>0.75</v>
      </c>
      <c r="AS33" s="158">
        <f>'CMF - Values'!$C$19</f>
        <v>0.9</v>
      </c>
      <c r="AT33" s="158">
        <f>'CMF - Values'!$C$14</f>
        <v>0.88249690258459546</v>
      </c>
      <c r="AU33" s="158"/>
      <c r="AV33" s="179">
        <f t="shared" si="10"/>
        <v>0.48450000000000004</v>
      </c>
      <c r="AW33" s="164">
        <f>'CMF - Values'!$C$20</f>
        <v>0.95</v>
      </c>
      <c r="AX33" s="158">
        <f>'CMF - Values'!$C$6</f>
        <v>0.76</v>
      </c>
      <c r="AY33" s="158">
        <f>'CMF - Values'!$C$4</f>
        <v>0.85</v>
      </c>
      <c r="AZ33" s="158">
        <f>'CMF - Values'!$C$16</f>
        <v>0.9</v>
      </c>
      <c r="BA33" s="158">
        <f>'CMF - Values'!$C$11</f>
        <v>0.9</v>
      </c>
      <c r="BB33" s="158">
        <f>'CMF - Values'!$C$10</f>
        <v>0.85</v>
      </c>
      <c r="BC33" s="158">
        <f>'CMF - Values'!$C$9</f>
        <v>0.75</v>
      </c>
      <c r="BD33" s="158">
        <f>'CMF - Values'!$C$19</f>
        <v>0.9</v>
      </c>
      <c r="BE33" s="158">
        <f>'CMF - Values'!$C$14</f>
        <v>0.88249690258459546</v>
      </c>
      <c r="BF33" s="158"/>
      <c r="BG33" s="179">
        <f t="shared" si="11"/>
        <v>0.48450000000000004</v>
      </c>
      <c r="BH33" s="158">
        <f>'CMF - Values'!$C$20</f>
        <v>0.95</v>
      </c>
      <c r="BI33" s="158">
        <f>'CMF - Values'!$C$6</f>
        <v>0.76</v>
      </c>
      <c r="BJ33" s="158">
        <f>'CMF - Values'!$C$4</f>
        <v>0.85</v>
      </c>
      <c r="BK33" s="158">
        <f>'CMF - Values'!$C$16</f>
        <v>0.9</v>
      </c>
      <c r="BL33" s="158">
        <f>'CMF - Values'!$C$11</f>
        <v>0.9</v>
      </c>
      <c r="BM33" s="158">
        <f>'CMF - Values'!$C$10</f>
        <v>0.85</v>
      </c>
      <c r="BN33" s="158">
        <f>'CMF - Values'!$C$9</f>
        <v>0.75</v>
      </c>
      <c r="BO33" s="158">
        <f>'CMF - Values'!$C$19</f>
        <v>0.9</v>
      </c>
      <c r="BP33" s="158">
        <f>'CMF - Values'!$C$14</f>
        <v>0.88249690258459546</v>
      </c>
      <c r="BQ33" s="158"/>
      <c r="BR33" s="184">
        <f t="shared" si="12"/>
        <v>0.48450000000000004</v>
      </c>
      <c r="BS33" s="189">
        <f t="shared" si="5"/>
        <v>0</v>
      </c>
      <c r="BT33" s="189">
        <f t="shared" si="6"/>
        <v>0</v>
      </c>
      <c r="BU33" s="189">
        <f t="shared" si="13"/>
        <v>0</v>
      </c>
      <c r="BV33" s="189">
        <f t="shared" si="14"/>
        <v>0</v>
      </c>
      <c r="BW33" s="139">
        <f t="shared" si="7"/>
        <v>0</v>
      </c>
      <c r="BX33" s="193">
        <f>BS33*'KABCO Level - Values'!$B$4</f>
        <v>0</v>
      </c>
      <c r="BY33" s="193">
        <f>BT33*'KABCO Level - Values'!$B$5</f>
        <v>0</v>
      </c>
      <c r="BZ33" s="193">
        <f>BU33*'KABCO Level - Values'!$B$6</f>
        <v>0</v>
      </c>
      <c r="CA33" s="193">
        <f>BV33*'KABCO Level - Values'!$B$7</f>
        <v>0</v>
      </c>
      <c r="CB33" s="196">
        <f>BW33*'KABCO Level - Values'!$B$8</f>
        <v>0</v>
      </c>
      <c r="CD33" s="302"/>
    </row>
    <row r="34" spans="1:82" s="123" customFormat="1" x14ac:dyDescent="0.25">
      <c r="A34" s="517"/>
      <c r="B34" s="511"/>
      <c r="C34" s="520"/>
      <c r="D34" s="493"/>
      <c r="E34" s="155" t="s">
        <v>202</v>
      </c>
      <c r="F34" s="308">
        <v>2.78</v>
      </c>
      <c r="G34" s="116">
        <v>0</v>
      </c>
      <c r="H34" s="116">
        <v>0</v>
      </c>
      <c r="I34" s="116">
        <v>0</v>
      </c>
      <c r="J34" s="118">
        <v>0</v>
      </c>
      <c r="K34" s="468">
        <f t="shared" si="0"/>
        <v>0.55599999999999994</v>
      </c>
      <c r="L34" s="138">
        <f t="shared" si="1"/>
        <v>0</v>
      </c>
      <c r="M34" s="138">
        <f t="shared" si="2"/>
        <v>0</v>
      </c>
      <c r="N34" s="138">
        <f t="shared" si="3"/>
        <v>0</v>
      </c>
      <c r="O34" s="139">
        <f t="shared" si="4"/>
        <v>0</v>
      </c>
      <c r="P34" s="159">
        <f>'CMF - Values'!$C$20</f>
        <v>0.95</v>
      </c>
      <c r="Q34" s="159">
        <f>'CMF - Values'!$C$6</f>
        <v>0.76</v>
      </c>
      <c r="R34" s="159">
        <f>'CMF - Values'!$C$5</f>
        <v>0.93</v>
      </c>
      <c r="S34" s="159">
        <f>'CMF - Values'!$C$16</f>
        <v>0.9</v>
      </c>
      <c r="T34" s="159">
        <f>'CMF - Values'!$C$11</f>
        <v>0.9</v>
      </c>
      <c r="U34" s="159">
        <f>'CMF - Values'!$C$10</f>
        <v>0.85</v>
      </c>
      <c r="V34" s="159">
        <f>'CMF - Values'!$C$9</f>
        <v>0.75</v>
      </c>
      <c r="W34" s="159">
        <f>'CMF - Values'!$C$19</f>
        <v>0.9</v>
      </c>
      <c r="X34" s="159"/>
      <c r="Y34" s="159"/>
      <c r="Z34" s="180">
        <f t="shared" si="8"/>
        <v>0.48450000000000004</v>
      </c>
      <c r="AA34" s="176">
        <f>'CMF - Values'!$C$20</f>
        <v>0.95</v>
      </c>
      <c r="AB34" s="159">
        <f>'CMF - Values'!$C$6</f>
        <v>0.76</v>
      </c>
      <c r="AC34" s="159">
        <f>'CMF - Values'!$C$4</f>
        <v>0.85</v>
      </c>
      <c r="AD34" s="159">
        <f>'CMF - Values'!$C$16</f>
        <v>0.9</v>
      </c>
      <c r="AE34" s="159">
        <f>'CMF - Values'!$C$11</f>
        <v>0.9</v>
      </c>
      <c r="AF34" s="159">
        <f>'CMF - Values'!$C$10</f>
        <v>0.85</v>
      </c>
      <c r="AG34" s="159">
        <f>'CMF - Values'!$C$9</f>
        <v>0.75</v>
      </c>
      <c r="AH34" s="159">
        <f>'CMF - Values'!$C$19</f>
        <v>0.9</v>
      </c>
      <c r="AI34" s="159"/>
      <c r="AJ34" s="159"/>
      <c r="AK34" s="180">
        <f t="shared" si="9"/>
        <v>0.48450000000000004</v>
      </c>
      <c r="AL34" s="176">
        <f>'CMF - Values'!$C$20</f>
        <v>0.95</v>
      </c>
      <c r="AM34" s="159">
        <f>'CMF - Values'!$C$6</f>
        <v>0.76</v>
      </c>
      <c r="AN34" s="159">
        <f>'CMF - Values'!$C$4</f>
        <v>0.85</v>
      </c>
      <c r="AO34" s="159">
        <f>'CMF - Values'!$C$16</f>
        <v>0.9</v>
      </c>
      <c r="AP34" s="159">
        <f>'CMF - Values'!$C$11</f>
        <v>0.9</v>
      </c>
      <c r="AQ34" s="159">
        <f>'CMF - Values'!$C$10</f>
        <v>0.85</v>
      </c>
      <c r="AR34" s="159">
        <f>'CMF - Values'!$C$9</f>
        <v>0.75</v>
      </c>
      <c r="AS34" s="159">
        <f>'CMF - Values'!$C$19</f>
        <v>0.9</v>
      </c>
      <c r="AT34" s="159"/>
      <c r="AU34" s="159"/>
      <c r="AV34" s="180">
        <f t="shared" si="10"/>
        <v>0.48450000000000004</v>
      </c>
      <c r="AW34" s="176">
        <f>'CMF - Values'!$C$20</f>
        <v>0.95</v>
      </c>
      <c r="AX34" s="159">
        <f>'CMF - Values'!$C$6</f>
        <v>0.76</v>
      </c>
      <c r="AY34" s="159">
        <f>'CMF - Values'!$C$4</f>
        <v>0.85</v>
      </c>
      <c r="AZ34" s="159">
        <f>'CMF - Values'!$C$16</f>
        <v>0.9</v>
      </c>
      <c r="BA34" s="159">
        <f>'CMF - Values'!$C$11</f>
        <v>0.9</v>
      </c>
      <c r="BB34" s="159">
        <f>'CMF - Values'!$C$10</f>
        <v>0.85</v>
      </c>
      <c r="BC34" s="159">
        <f>'CMF - Values'!$C$9</f>
        <v>0.75</v>
      </c>
      <c r="BD34" s="159">
        <f>'CMF - Values'!$C$19</f>
        <v>0.9</v>
      </c>
      <c r="BE34" s="159"/>
      <c r="BF34" s="159"/>
      <c r="BG34" s="180">
        <f t="shared" si="11"/>
        <v>0.48450000000000004</v>
      </c>
      <c r="BH34" s="159">
        <f>'CMF - Values'!$C$20</f>
        <v>0.95</v>
      </c>
      <c r="BI34" s="159">
        <f>'CMF - Values'!$C$6</f>
        <v>0.76</v>
      </c>
      <c r="BJ34" s="159">
        <f>'CMF - Values'!$C$4</f>
        <v>0.85</v>
      </c>
      <c r="BK34" s="159">
        <f>'CMF - Values'!$C$16</f>
        <v>0.9</v>
      </c>
      <c r="BL34" s="159">
        <f>'CMF - Values'!$C$11</f>
        <v>0.9</v>
      </c>
      <c r="BM34" s="159">
        <f>'CMF - Values'!$C$10</f>
        <v>0.85</v>
      </c>
      <c r="BN34" s="159">
        <f>'CMF - Values'!$C$9</f>
        <v>0.75</v>
      </c>
      <c r="BO34" s="159">
        <f>'CMF - Values'!$C$19</f>
        <v>0.9</v>
      </c>
      <c r="BP34" s="159"/>
      <c r="BQ34" s="159"/>
      <c r="BR34" s="186">
        <f t="shared" si="12"/>
        <v>0.48450000000000004</v>
      </c>
      <c r="BS34" s="124">
        <f t="shared" si="5"/>
        <v>0.28661799999999993</v>
      </c>
      <c r="BT34" s="124">
        <f t="shared" si="6"/>
        <v>0</v>
      </c>
      <c r="BU34" s="124">
        <f t="shared" si="13"/>
        <v>0</v>
      </c>
      <c r="BV34" s="124">
        <f t="shared" si="14"/>
        <v>0</v>
      </c>
      <c r="BW34" s="143">
        <f t="shared" si="7"/>
        <v>0</v>
      </c>
      <c r="BX34" s="194">
        <f>BS34*'KABCO Level - Values'!$B$4</f>
        <v>917.17759999999976</v>
      </c>
      <c r="BY34" s="194">
        <f>BT34*'KABCO Level - Values'!$B$5</f>
        <v>0</v>
      </c>
      <c r="BZ34" s="194">
        <f>BU34*'KABCO Level - Values'!$B$6</f>
        <v>0</v>
      </c>
      <c r="CA34" s="194">
        <f>BV34*'KABCO Level - Values'!$B$7</f>
        <v>0</v>
      </c>
      <c r="CB34" s="197">
        <f>BW34*'KABCO Level - Values'!$B$8</f>
        <v>0</v>
      </c>
      <c r="CD34" s="302"/>
    </row>
    <row r="35" spans="1:82" s="123" customFormat="1" x14ac:dyDescent="0.25">
      <c r="A35" s="517"/>
      <c r="B35" s="511"/>
      <c r="C35" s="520"/>
      <c r="D35" s="493" t="s">
        <v>137</v>
      </c>
      <c r="E35" s="156" t="s">
        <v>204</v>
      </c>
      <c r="F35" s="115">
        <v>0</v>
      </c>
      <c r="G35" s="115">
        <v>0</v>
      </c>
      <c r="H35" s="115">
        <v>0</v>
      </c>
      <c r="I35" s="115">
        <v>0</v>
      </c>
      <c r="J35" s="117">
        <v>0</v>
      </c>
      <c r="K35" s="470">
        <f t="shared" si="0"/>
        <v>0</v>
      </c>
      <c r="L35" s="146">
        <f t="shared" si="1"/>
        <v>0</v>
      </c>
      <c r="M35" s="146">
        <f t="shared" si="2"/>
        <v>0</v>
      </c>
      <c r="N35" s="146">
        <f t="shared" si="3"/>
        <v>0</v>
      </c>
      <c r="O35" s="471">
        <f t="shared" si="4"/>
        <v>0</v>
      </c>
      <c r="P35" s="160">
        <f>'CMF - Values'!$C$20</f>
        <v>0.95</v>
      </c>
      <c r="Q35" s="160">
        <f>'CMF - Values'!$C$7</f>
        <v>0.57999999999999996</v>
      </c>
      <c r="R35" s="160">
        <f>'CMF - Values'!$C$5</f>
        <v>0.93</v>
      </c>
      <c r="S35" s="160">
        <f>'CMF - Values'!$C$16</f>
        <v>0.9</v>
      </c>
      <c r="T35" s="160">
        <f>'CMF - Values'!$C$11</f>
        <v>0.9</v>
      </c>
      <c r="U35" s="160">
        <f>'CMF - Values'!$C$10</f>
        <v>0.85</v>
      </c>
      <c r="V35" s="160">
        <f>'CMF - Values'!$C$9</f>
        <v>0.75</v>
      </c>
      <c r="W35" s="160">
        <f>'CMF - Values'!$C$18</f>
        <v>0.7</v>
      </c>
      <c r="X35" s="160">
        <f>'CMF - Values'!$C$15</f>
        <v>0.6</v>
      </c>
      <c r="Y35" s="160">
        <f>'CMF - Values'!$C$17</f>
        <v>0.75</v>
      </c>
      <c r="Z35" s="182">
        <f t="shared" si="8"/>
        <v>0.24359999999999996</v>
      </c>
      <c r="AA35" s="177">
        <f>'CMF - Values'!$C$20</f>
        <v>0.95</v>
      </c>
      <c r="AB35" s="160">
        <f>'CMF - Values'!$C$7</f>
        <v>0.57999999999999996</v>
      </c>
      <c r="AC35" s="160">
        <f>'CMF - Values'!$C$4</f>
        <v>0.85</v>
      </c>
      <c r="AD35" s="160">
        <f>'CMF - Values'!$C$16</f>
        <v>0.9</v>
      </c>
      <c r="AE35" s="160">
        <f>'CMF - Values'!$C$11</f>
        <v>0.9</v>
      </c>
      <c r="AF35" s="160">
        <f>'CMF - Values'!$C$10</f>
        <v>0.85</v>
      </c>
      <c r="AG35" s="160">
        <f>'CMF - Values'!$C$9</f>
        <v>0.75</v>
      </c>
      <c r="AH35" s="160">
        <f>'CMF - Values'!$C$18</f>
        <v>0.7</v>
      </c>
      <c r="AI35" s="160">
        <f>'CMF - Values'!$C$15</f>
        <v>0.6</v>
      </c>
      <c r="AJ35" s="160">
        <f>'CMF - Values'!$C$17</f>
        <v>0.75</v>
      </c>
      <c r="AK35" s="182">
        <f t="shared" si="9"/>
        <v>0.24359999999999996</v>
      </c>
      <c r="AL35" s="177">
        <f>'CMF - Values'!$C$20</f>
        <v>0.95</v>
      </c>
      <c r="AM35" s="160">
        <f>'CMF - Values'!$C$7</f>
        <v>0.57999999999999996</v>
      </c>
      <c r="AN35" s="160">
        <f>'CMF - Values'!$C$4</f>
        <v>0.85</v>
      </c>
      <c r="AO35" s="160">
        <f>'CMF - Values'!$C$16</f>
        <v>0.9</v>
      </c>
      <c r="AP35" s="160">
        <f>'CMF - Values'!$C$11</f>
        <v>0.9</v>
      </c>
      <c r="AQ35" s="160">
        <f>'CMF - Values'!$C$10</f>
        <v>0.85</v>
      </c>
      <c r="AR35" s="160">
        <f>'CMF - Values'!$C$9</f>
        <v>0.75</v>
      </c>
      <c r="AS35" s="160">
        <f>'CMF - Values'!$C$18</f>
        <v>0.7</v>
      </c>
      <c r="AT35" s="160">
        <f>'CMF - Values'!$C$15</f>
        <v>0.6</v>
      </c>
      <c r="AU35" s="160">
        <f>'CMF - Values'!$C$17</f>
        <v>0.75</v>
      </c>
      <c r="AV35" s="182">
        <f t="shared" si="10"/>
        <v>0.24359999999999996</v>
      </c>
      <c r="AW35" s="177">
        <f>'CMF - Values'!$C$20</f>
        <v>0.95</v>
      </c>
      <c r="AX35" s="160">
        <f>'CMF - Values'!$C$7</f>
        <v>0.57999999999999996</v>
      </c>
      <c r="AY35" s="160">
        <f>'CMF - Values'!$C$4</f>
        <v>0.85</v>
      </c>
      <c r="AZ35" s="160">
        <f>'CMF - Values'!$C$16</f>
        <v>0.9</v>
      </c>
      <c r="BA35" s="160">
        <f>'CMF - Values'!$C$11</f>
        <v>0.9</v>
      </c>
      <c r="BB35" s="160">
        <f>'CMF - Values'!$C$10</f>
        <v>0.85</v>
      </c>
      <c r="BC35" s="160">
        <f>'CMF - Values'!$C$9</f>
        <v>0.75</v>
      </c>
      <c r="BD35" s="160">
        <f>'CMF - Values'!$C$18</f>
        <v>0.7</v>
      </c>
      <c r="BE35" s="160">
        <f>'CMF - Values'!$C$15</f>
        <v>0.6</v>
      </c>
      <c r="BF35" s="160">
        <f>'CMF - Values'!$C$17</f>
        <v>0.75</v>
      </c>
      <c r="BG35" s="182">
        <f t="shared" si="11"/>
        <v>0.24359999999999996</v>
      </c>
      <c r="BH35" s="160">
        <f>'CMF - Values'!$C$20</f>
        <v>0.95</v>
      </c>
      <c r="BI35" s="160">
        <f>'CMF - Values'!$C$7</f>
        <v>0.57999999999999996</v>
      </c>
      <c r="BJ35" s="160">
        <f>'CMF - Values'!$C$4</f>
        <v>0.85</v>
      </c>
      <c r="BK35" s="160">
        <f>'CMF - Values'!$C$16</f>
        <v>0.9</v>
      </c>
      <c r="BL35" s="160">
        <f>'CMF - Values'!$C$11</f>
        <v>0.9</v>
      </c>
      <c r="BM35" s="160">
        <f>'CMF - Values'!$C$10</f>
        <v>0.85</v>
      </c>
      <c r="BN35" s="160">
        <f>'CMF - Values'!$C$9</f>
        <v>0.75</v>
      </c>
      <c r="BO35" s="160">
        <f>'CMF - Values'!$C$18</f>
        <v>0.7</v>
      </c>
      <c r="BP35" s="160">
        <f>'CMF - Values'!$C$15</f>
        <v>0.6</v>
      </c>
      <c r="BQ35" s="160">
        <f>'CMF - Values'!$C$17</f>
        <v>0.75</v>
      </c>
      <c r="BR35" s="187">
        <f t="shared" si="12"/>
        <v>0.24359999999999996</v>
      </c>
      <c r="BS35" s="189">
        <f t="shared" si="5"/>
        <v>0</v>
      </c>
      <c r="BT35" s="189">
        <f t="shared" si="6"/>
        <v>0</v>
      </c>
      <c r="BU35" s="189">
        <f t="shared" si="13"/>
        <v>0</v>
      </c>
      <c r="BV35" s="189">
        <f t="shared" si="14"/>
        <v>0</v>
      </c>
      <c r="BW35" s="139">
        <f t="shared" si="7"/>
        <v>0</v>
      </c>
      <c r="BX35" s="193">
        <f>BS35*'KABCO Level - Values'!$B$4</f>
        <v>0</v>
      </c>
      <c r="BY35" s="193">
        <f>BT35*'KABCO Level - Values'!$B$5</f>
        <v>0</v>
      </c>
      <c r="BZ35" s="193">
        <f>BU35*'KABCO Level - Values'!$B$6</f>
        <v>0</v>
      </c>
      <c r="CA35" s="193">
        <f>BV35*'KABCO Level - Values'!$B$7</f>
        <v>0</v>
      </c>
      <c r="CB35" s="196">
        <f>BW35*'KABCO Level - Values'!$B$8</f>
        <v>0</v>
      </c>
      <c r="CD35" s="302"/>
    </row>
    <row r="36" spans="1:82" s="123" customFormat="1" x14ac:dyDescent="0.25">
      <c r="A36" s="517"/>
      <c r="B36" s="511"/>
      <c r="C36" s="520"/>
      <c r="D36" s="493"/>
      <c r="E36" s="154" t="s">
        <v>174</v>
      </c>
      <c r="F36" s="304">
        <v>1.39</v>
      </c>
      <c r="G36" s="113">
        <v>0</v>
      </c>
      <c r="H36" s="113">
        <v>0</v>
      </c>
      <c r="I36" s="113">
        <v>0</v>
      </c>
      <c r="J36" s="118">
        <v>1</v>
      </c>
      <c r="K36" s="468">
        <f t="shared" si="0"/>
        <v>0.27799999999999997</v>
      </c>
      <c r="L36" s="138">
        <f t="shared" si="1"/>
        <v>0</v>
      </c>
      <c r="M36" s="138">
        <f t="shared" si="2"/>
        <v>0</v>
      </c>
      <c r="N36" s="138">
        <f t="shared" si="3"/>
        <v>0</v>
      </c>
      <c r="O36" s="139">
        <f t="shared" si="4"/>
        <v>0.2</v>
      </c>
      <c r="P36" s="158">
        <f>'CMF - Values'!$C$20</f>
        <v>0.95</v>
      </c>
      <c r="Q36" s="158">
        <f>'CMF - Values'!$C$7</f>
        <v>0.57999999999999996</v>
      </c>
      <c r="R36" s="158">
        <f>'CMF - Values'!$C$5</f>
        <v>0.93</v>
      </c>
      <c r="S36" s="158">
        <f>'CMF - Values'!$C$16</f>
        <v>0.9</v>
      </c>
      <c r="T36" s="158">
        <f>'CMF - Values'!$C$11</f>
        <v>0.9</v>
      </c>
      <c r="U36" s="158">
        <f>'CMF - Values'!$C$10</f>
        <v>0.85</v>
      </c>
      <c r="V36" s="158">
        <f>'CMF - Values'!$C$9</f>
        <v>0.75</v>
      </c>
      <c r="W36" s="158">
        <f>'CMF - Values'!$C$18</f>
        <v>0.7</v>
      </c>
      <c r="X36" s="158">
        <f>'CMF - Values'!$C$14</f>
        <v>0.88249690258459546</v>
      </c>
      <c r="Y36" s="158"/>
      <c r="Z36" s="179">
        <f t="shared" si="8"/>
        <v>0.30449999999999999</v>
      </c>
      <c r="AA36" s="164">
        <f>'CMF - Values'!$C$20</f>
        <v>0.95</v>
      </c>
      <c r="AB36" s="158">
        <f>'CMF - Values'!$C$7</f>
        <v>0.57999999999999996</v>
      </c>
      <c r="AC36" s="158">
        <f>'CMF - Values'!$C$4</f>
        <v>0.85</v>
      </c>
      <c r="AD36" s="158">
        <f>'CMF - Values'!$C$16</f>
        <v>0.9</v>
      </c>
      <c r="AE36" s="158">
        <f>'CMF - Values'!$C$11</f>
        <v>0.9</v>
      </c>
      <c r="AF36" s="158">
        <f>'CMF - Values'!$C$10</f>
        <v>0.85</v>
      </c>
      <c r="AG36" s="158">
        <f>'CMF - Values'!$C$9</f>
        <v>0.75</v>
      </c>
      <c r="AH36" s="158">
        <f>'CMF - Values'!$C$18</f>
        <v>0.7</v>
      </c>
      <c r="AI36" s="158">
        <f>'CMF - Values'!$C$14</f>
        <v>0.88249690258459546</v>
      </c>
      <c r="AJ36" s="158"/>
      <c r="AK36" s="179">
        <f t="shared" si="9"/>
        <v>0.30449999999999999</v>
      </c>
      <c r="AL36" s="164">
        <f>'CMF - Values'!$C$20</f>
        <v>0.95</v>
      </c>
      <c r="AM36" s="158">
        <f>'CMF - Values'!$C$7</f>
        <v>0.57999999999999996</v>
      </c>
      <c r="AN36" s="158">
        <f>'CMF - Values'!$C$4</f>
        <v>0.85</v>
      </c>
      <c r="AO36" s="158">
        <f>'CMF - Values'!$C$16</f>
        <v>0.9</v>
      </c>
      <c r="AP36" s="158">
        <f>'CMF - Values'!$C$11</f>
        <v>0.9</v>
      </c>
      <c r="AQ36" s="158">
        <f>'CMF - Values'!$C$10</f>
        <v>0.85</v>
      </c>
      <c r="AR36" s="158">
        <f>'CMF - Values'!$C$9</f>
        <v>0.75</v>
      </c>
      <c r="AS36" s="158">
        <f>'CMF - Values'!$C$18</f>
        <v>0.7</v>
      </c>
      <c r="AT36" s="158">
        <f>'CMF - Values'!$C$14</f>
        <v>0.88249690258459546</v>
      </c>
      <c r="AU36" s="158"/>
      <c r="AV36" s="179">
        <f t="shared" si="10"/>
        <v>0.30449999999999999</v>
      </c>
      <c r="AW36" s="164">
        <f>'CMF - Values'!$C$20</f>
        <v>0.95</v>
      </c>
      <c r="AX36" s="158">
        <f>'CMF - Values'!$C$7</f>
        <v>0.57999999999999996</v>
      </c>
      <c r="AY36" s="158">
        <f>'CMF - Values'!$C$4</f>
        <v>0.85</v>
      </c>
      <c r="AZ36" s="158">
        <f>'CMF - Values'!$C$16</f>
        <v>0.9</v>
      </c>
      <c r="BA36" s="158">
        <f>'CMF - Values'!$C$11</f>
        <v>0.9</v>
      </c>
      <c r="BB36" s="158">
        <f>'CMF - Values'!$C$10</f>
        <v>0.85</v>
      </c>
      <c r="BC36" s="158">
        <f>'CMF - Values'!$C$9</f>
        <v>0.75</v>
      </c>
      <c r="BD36" s="158">
        <f>'CMF - Values'!$C$18</f>
        <v>0.7</v>
      </c>
      <c r="BE36" s="158">
        <f>'CMF - Values'!$C$14</f>
        <v>0.88249690258459546</v>
      </c>
      <c r="BF36" s="158"/>
      <c r="BG36" s="179">
        <f t="shared" si="11"/>
        <v>0.30449999999999999</v>
      </c>
      <c r="BH36" s="158">
        <f>'CMF - Values'!$C$20</f>
        <v>0.95</v>
      </c>
      <c r="BI36" s="158">
        <f>'CMF - Values'!$C$7</f>
        <v>0.57999999999999996</v>
      </c>
      <c r="BJ36" s="158">
        <f>'CMF - Values'!$C$4</f>
        <v>0.85</v>
      </c>
      <c r="BK36" s="158">
        <f>'CMF - Values'!$C$16</f>
        <v>0.9</v>
      </c>
      <c r="BL36" s="158">
        <f>'CMF - Values'!$C$11</f>
        <v>0.9</v>
      </c>
      <c r="BM36" s="158">
        <f>'CMF - Values'!$C$10</f>
        <v>0.85</v>
      </c>
      <c r="BN36" s="158">
        <f>'CMF - Values'!$C$9</f>
        <v>0.75</v>
      </c>
      <c r="BO36" s="158">
        <f>'CMF - Values'!$C$18</f>
        <v>0.7</v>
      </c>
      <c r="BP36" s="158">
        <f>'CMF - Values'!$C$14</f>
        <v>0.88249690258459546</v>
      </c>
      <c r="BQ36" s="158"/>
      <c r="BR36" s="184">
        <f t="shared" si="12"/>
        <v>0.30449999999999999</v>
      </c>
      <c r="BS36" s="189">
        <f t="shared" si="5"/>
        <v>0.19334899999999999</v>
      </c>
      <c r="BT36" s="189">
        <f t="shared" si="6"/>
        <v>0</v>
      </c>
      <c r="BU36" s="189">
        <f t="shared" si="13"/>
        <v>0</v>
      </c>
      <c r="BV36" s="189">
        <f t="shared" si="14"/>
        <v>0</v>
      </c>
      <c r="BW36" s="139">
        <f t="shared" si="7"/>
        <v>0.1391</v>
      </c>
      <c r="BX36" s="193">
        <f>BS36*'KABCO Level - Values'!$B$4</f>
        <v>618.71679999999992</v>
      </c>
      <c r="BY36" s="193">
        <f>BT36*'KABCO Level - Values'!$B$5</f>
        <v>0</v>
      </c>
      <c r="BZ36" s="193">
        <f>BU36*'KABCO Level - Values'!$B$6</f>
        <v>0</v>
      </c>
      <c r="CA36" s="193">
        <f>BV36*'KABCO Level - Values'!$B$7</f>
        <v>0</v>
      </c>
      <c r="CB36" s="196">
        <f>BW36*'KABCO Level - Values'!$B$8</f>
        <v>1335360</v>
      </c>
      <c r="CD36" s="302"/>
    </row>
    <row r="37" spans="1:82" s="123" customFormat="1" x14ac:dyDescent="0.25">
      <c r="A37" s="517"/>
      <c r="B37" s="511"/>
      <c r="C37" s="520"/>
      <c r="D37" s="493"/>
      <c r="E37" s="155" t="s">
        <v>202</v>
      </c>
      <c r="F37" s="308">
        <v>353.06</v>
      </c>
      <c r="G37" s="116">
        <v>31</v>
      </c>
      <c r="H37" s="116">
        <v>2</v>
      </c>
      <c r="I37" s="116">
        <v>2</v>
      </c>
      <c r="J37" s="119">
        <v>0</v>
      </c>
      <c r="K37" s="469">
        <f t="shared" si="0"/>
        <v>70.611999999999995</v>
      </c>
      <c r="L37" s="142">
        <f t="shared" si="1"/>
        <v>6.2</v>
      </c>
      <c r="M37" s="142">
        <f t="shared" si="2"/>
        <v>0.4</v>
      </c>
      <c r="N37" s="142">
        <f t="shared" si="3"/>
        <v>0.4</v>
      </c>
      <c r="O37" s="143">
        <f t="shared" si="4"/>
        <v>0</v>
      </c>
      <c r="P37" s="159">
        <f>'CMF - Values'!$C$20</f>
        <v>0.95</v>
      </c>
      <c r="Q37" s="159">
        <f>'CMF - Values'!$C$7</f>
        <v>0.57999999999999996</v>
      </c>
      <c r="R37" s="159">
        <f>'CMF - Values'!$C$5</f>
        <v>0.93</v>
      </c>
      <c r="S37" s="159">
        <f>'CMF - Values'!$C$16</f>
        <v>0.9</v>
      </c>
      <c r="T37" s="159">
        <f>'CMF - Values'!$C$11</f>
        <v>0.9</v>
      </c>
      <c r="U37" s="159">
        <f>'CMF - Values'!$C$10</f>
        <v>0.85</v>
      </c>
      <c r="V37" s="159">
        <f>'CMF - Values'!$C$9</f>
        <v>0.75</v>
      </c>
      <c r="W37" s="159">
        <f>'CMF - Values'!$C$18</f>
        <v>0.7</v>
      </c>
      <c r="X37" s="159"/>
      <c r="Y37" s="159"/>
      <c r="Z37" s="180">
        <f t="shared" si="8"/>
        <v>0.30449999999999999</v>
      </c>
      <c r="AA37" s="176">
        <f>'CMF - Values'!$C$20</f>
        <v>0.95</v>
      </c>
      <c r="AB37" s="159">
        <f>'CMF - Values'!$C$7</f>
        <v>0.57999999999999996</v>
      </c>
      <c r="AC37" s="159">
        <f>'CMF - Values'!$C$4</f>
        <v>0.85</v>
      </c>
      <c r="AD37" s="159">
        <f>'CMF - Values'!$C$16</f>
        <v>0.9</v>
      </c>
      <c r="AE37" s="159">
        <f>'CMF - Values'!$C$11</f>
        <v>0.9</v>
      </c>
      <c r="AF37" s="159">
        <f>'CMF - Values'!$C$10</f>
        <v>0.85</v>
      </c>
      <c r="AG37" s="159">
        <f>'CMF - Values'!$C$9</f>
        <v>0.75</v>
      </c>
      <c r="AH37" s="159">
        <f>'CMF - Values'!$C$18</f>
        <v>0.7</v>
      </c>
      <c r="AI37" s="159"/>
      <c r="AJ37" s="159"/>
      <c r="AK37" s="180">
        <f t="shared" si="9"/>
        <v>0.30449999999999999</v>
      </c>
      <c r="AL37" s="176">
        <f>'CMF - Values'!$C$20</f>
        <v>0.95</v>
      </c>
      <c r="AM37" s="159">
        <f>'CMF - Values'!$C$7</f>
        <v>0.57999999999999996</v>
      </c>
      <c r="AN37" s="159">
        <f>'CMF - Values'!$C$4</f>
        <v>0.85</v>
      </c>
      <c r="AO37" s="159">
        <f>'CMF - Values'!$C$16</f>
        <v>0.9</v>
      </c>
      <c r="AP37" s="159">
        <f>'CMF - Values'!$C$11</f>
        <v>0.9</v>
      </c>
      <c r="AQ37" s="159">
        <f>'CMF - Values'!$C$10</f>
        <v>0.85</v>
      </c>
      <c r="AR37" s="159">
        <f>'CMF - Values'!$C$9</f>
        <v>0.75</v>
      </c>
      <c r="AS37" s="159">
        <f>'CMF - Values'!$C$18</f>
        <v>0.7</v>
      </c>
      <c r="AT37" s="159"/>
      <c r="AU37" s="159"/>
      <c r="AV37" s="180">
        <f t="shared" si="10"/>
        <v>0.30449999999999999</v>
      </c>
      <c r="AW37" s="176">
        <f>'CMF - Values'!$C$20</f>
        <v>0.95</v>
      </c>
      <c r="AX37" s="159">
        <f>'CMF - Values'!$C$7</f>
        <v>0.57999999999999996</v>
      </c>
      <c r="AY37" s="159">
        <f>'CMF - Values'!$C$4</f>
        <v>0.85</v>
      </c>
      <c r="AZ37" s="159">
        <f>'CMF - Values'!$C$16</f>
        <v>0.9</v>
      </c>
      <c r="BA37" s="159">
        <f>'CMF - Values'!$C$11</f>
        <v>0.9</v>
      </c>
      <c r="BB37" s="159">
        <f>'CMF - Values'!$C$10</f>
        <v>0.85</v>
      </c>
      <c r="BC37" s="159">
        <f>'CMF - Values'!$C$9</f>
        <v>0.75</v>
      </c>
      <c r="BD37" s="159">
        <f>'CMF - Values'!$C$18</f>
        <v>0.7</v>
      </c>
      <c r="BE37" s="159"/>
      <c r="BF37" s="159"/>
      <c r="BG37" s="180">
        <f t="shared" si="11"/>
        <v>0.30449999999999999</v>
      </c>
      <c r="BH37" s="159">
        <f>'CMF - Values'!$C$20</f>
        <v>0.95</v>
      </c>
      <c r="BI37" s="159">
        <f>'CMF - Values'!$C$7</f>
        <v>0.57999999999999996</v>
      </c>
      <c r="BJ37" s="159">
        <f>'CMF - Values'!$C$4</f>
        <v>0.85</v>
      </c>
      <c r="BK37" s="159">
        <f>'CMF - Values'!$C$16</f>
        <v>0.9</v>
      </c>
      <c r="BL37" s="159">
        <f>'CMF - Values'!$C$11</f>
        <v>0.9</v>
      </c>
      <c r="BM37" s="159">
        <f>'CMF - Values'!$C$10</f>
        <v>0.85</v>
      </c>
      <c r="BN37" s="159">
        <f>'CMF - Values'!$C$9</f>
        <v>0.75</v>
      </c>
      <c r="BO37" s="159">
        <f>'CMF - Values'!$C$18</f>
        <v>0.7</v>
      </c>
      <c r="BP37" s="159"/>
      <c r="BQ37" s="159"/>
      <c r="BR37" s="186">
        <f t="shared" si="12"/>
        <v>0.30449999999999999</v>
      </c>
      <c r="BS37" s="124">
        <f t="shared" si="5"/>
        <v>49.110645999999996</v>
      </c>
      <c r="BT37" s="124">
        <f t="shared" si="6"/>
        <v>4.3121</v>
      </c>
      <c r="BU37" s="124">
        <f t="shared" si="13"/>
        <v>0.2782</v>
      </c>
      <c r="BV37" s="124">
        <f t="shared" si="14"/>
        <v>0.2782</v>
      </c>
      <c r="BW37" s="143">
        <f t="shared" si="7"/>
        <v>0</v>
      </c>
      <c r="BX37" s="194">
        <f>BS37*'KABCO Level - Values'!$B$4</f>
        <v>157154.06719999999</v>
      </c>
      <c r="BY37" s="194">
        <f>BT37*'KABCO Level - Values'!$B$5</f>
        <v>275543.19</v>
      </c>
      <c r="BZ37" s="194">
        <f>BU37*'KABCO Level - Values'!$B$6</f>
        <v>34775</v>
      </c>
      <c r="CA37" s="194">
        <f>BV37*'KABCO Level - Values'!$B$7</f>
        <v>127721.62</v>
      </c>
      <c r="CB37" s="197">
        <f>BW37*'KABCO Level - Values'!$B$8</f>
        <v>0</v>
      </c>
      <c r="CD37" s="302"/>
    </row>
    <row r="38" spans="1:82" s="123" customFormat="1" x14ac:dyDescent="0.25">
      <c r="A38" s="517"/>
      <c r="B38" s="511"/>
      <c r="C38" s="520"/>
      <c r="D38" s="493" t="s">
        <v>139</v>
      </c>
      <c r="E38" s="156" t="s">
        <v>204</v>
      </c>
      <c r="F38" s="115">
        <v>0</v>
      </c>
      <c r="G38" s="115">
        <v>0</v>
      </c>
      <c r="H38" s="115">
        <v>0</v>
      </c>
      <c r="I38" s="115">
        <v>0</v>
      </c>
      <c r="J38" s="117">
        <v>0</v>
      </c>
      <c r="K38" s="470">
        <f t="shared" si="0"/>
        <v>0</v>
      </c>
      <c r="L38" s="146">
        <f t="shared" si="1"/>
        <v>0</v>
      </c>
      <c r="M38" s="146">
        <f t="shared" si="2"/>
        <v>0</v>
      </c>
      <c r="N38" s="146">
        <f t="shared" si="3"/>
        <v>0</v>
      </c>
      <c r="O38" s="471">
        <f t="shared" si="4"/>
        <v>0</v>
      </c>
      <c r="P38" s="160">
        <f>'CMF - Values'!$C$20</f>
        <v>0.95</v>
      </c>
      <c r="Q38" s="160">
        <f>'CMF - Values'!$C$8</f>
        <v>0.7</v>
      </c>
      <c r="R38" s="160">
        <f>'CMF - Values'!$C$5</f>
        <v>0.93</v>
      </c>
      <c r="S38" s="160">
        <f>'CMF - Values'!$C$16</f>
        <v>0.9</v>
      </c>
      <c r="T38" s="160">
        <f>'CMF - Values'!$C$11</f>
        <v>0.9</v>
      </c>
      <c r="U38" s="160">
        <f>'CMF - Values'!$C$10</f>
        <v>0.85</v>
      </c>
      <c r="V38" s="160">
        <f>'CMF - Values'!$C$9</f>
        <v>0.75</v>
      </c>
      <c r="W38" s="160">
        <f>'CMF - Values'!$C$19</f>
        <v>0.9</v>
      </c>
      <c r="X38" s="160">
        <f>'CMF - Values'!$C$15</f>
        <v>0.6</v>
      </c>
      <c r="Y38" s="160">
        <f>'CMF - Values'!$C$17</f>
        <v>0.75</v>
      </c>
      <c r="Z38" s="182">
        <f t="shared" si="8"/>
        <v>0.315</v>
      </c>
      <c r="AA38" s="177">
        <f>'CMF - Values'!$C$20</f>
        <v>0.95</v>
      </c>
      <c r="AB38" s="160">
        <f>'CMF - Values'!$C$8</f>
        <v>0.7</v>
      </c>
      <c r="AC38" s="160">
        <f>'CMF - Values'!$C$4</f>
        <v>0.85</v>
      </c>
      <c r="AD38" s="160">
        <f>'CMF - Values'!$C$16</f>
        <v>0.9</v>
      </c>
      <c r="AE38" s="160">
        <f>'CMF - Values'!$C$11</f>
        <v>0.9</v>
      </c>
      <c r="AF38" s="160">
        <f>'CMF - Values'!$C$10</f>
        <v>0.85</v>
      </c>
      <c r="AG38" s="160">
        <f>'CMF - Values'!$C$9</f>
        <v>0.75</v>
      </c>
      <c r="AH38" s="160">
        <f>'CMF - Values'!$C$19</f>
        <v>0.9</v>
      </c>
      <c r="AI38" s="160">
        <f>'CMF - Values'!$C$15</f>
        <v>0.6</v>
      </c>
      <c r="AJ38" s="160">
        <f>'CMF - Values'!$C$17</f>
        <v>0.75</v>
      </c>
      <c r="AK38" s="182">
        <f t="shared" si="9"/>
        <v>0.315</v>
      </c>
      <c r="AL38" s="177">
        <f>'CMF - Values'!$C$20</f>
        <v>0.95</v>
      </c>
      <c r="AM38" s="160">
        <f>'CMF - Values'!$C$8</f>
        <v>0.7</v>
      </c>
      <c r="AN38" s="160">
        <f>'CMF - Values'!$C$4</f>
        <v>0.85</v>
      </c>
      <c r="AO38" s="160">
        <f>'CMF - Values'!$C$16</f>
        <v>0.9</v>
      </c>
      <c r="AP38" s="160">
        <f>'CMF - Values'!$C$11</f>
        <v>0.9</v>
      </c>
      <c r="AQ38" s="160">
        <f>'CMF - Values'!$C$10</f>
        <v>0.85</v>
      </c>
      <c r="AR38" s="160">
        <f>'CMF - Values'!$C$9</f>
        <v>0.75</v>
      </c>
      <c r="AS38" s="160">
        <f>'CMF - Values'!$C$19</f>
        <v>0.9</v>
      </c>
      <c r="AT38" s="160">
        <f>'CMF - Values'!$C$15</f>
        <v>0.6</v>
      </c>
      <c r="AU38" s="160">
        <f>'CMF - Values'!$C$17</f>
        <v>0.75</v>
      </c>
      <c r="AV38" s="182">
        <f t="shared" si="10"/>
        <v>0.315</v>
      </c>
      <c r="AW38" s="177">
        <f>'CMF - Values'!$C$20</f>
        <v>0.95</v>
      </c>
      <c r="AX38" s="160">
        <f>'CMF - Values'!$C$8</f>
        <v>0.7</v>
      </c>
      <c r="AY38" s="160">
        <f>'CMF - Values'!$C$4</f>
        <v>0.85</v>
      </c>
      <c r="AZ38" s="160">
        <f>'CMF - Values'!$C$16</f>
        <v>0.9</v>
      </c>
      <c r="BA38" s="160">
        <f>'CMF - Values'!$C$11</f>
        <v>0.9</v>
      </c>
      <c r="BB38" s="160">
        <f>'CMF - Values'!$C$10</f>
        <v>0.85</v>
      </c>
      <c r="BC38" s="160">
        <f>'CMF - Values'!$C$9</f>
        <v>0.75</v>
      </c>
      <c r="BD38" s="160">
        <f>'CMF - Values'!$C$19</f>
        <v>0.9</v>
      </c>
      <c r="BE38" s="160">
        <f>'CMF - Values'!$C$15</f>
        <v>0.6</v>
      </c>
      <c r="BF38" s="160">
        <f>'CMF - Values'!$C$17</f>
        <v>0.75</v>
      </c>
      <c r="BG38" s="182">
        <f t="shared" si="11"/>
        <v>0.315</v>
      </c>
      <c r="BH38" s="160">
        <f>'CMF - Values'!$C$20</f>
        <v>0.95</v>
      </c>
      <c r="BI38" s="160">
        <f>'CMF - Values'!$C$8</f>
        <v>0.7</v>
      </c>
      <c r="BJ38" s="160">
        <f>'CMF - Values'!$C$4</f>
        <v>0.85</v>
      </c>
      <c r="BK38" s="160">
        <f>'CMF - Values'!$C$16</f>
        <v>0.9</v>
      </c>
      <c r="BL38" s="160">
        <f>'CMF - Values'!$C$11</f>
        <v>0.9</v>
      </c>
      <c r="BM38" s="160">
        <f>'CMF - Values'!$C$10</f>
        <v>0.85</v>
      </c>
      <c r="BN38" s="160">
        <f>'CMF - Values'!$C$9</f>
        <v>0.75</v>
      </c>
      <c r="BO38" s="160">
        <f>'CMF - Values'!$C$19</f>
        <v>0.9</v>
      </c>
      <c r="BP38" s="160">
        <f>'CMF - Values'!$C$15</f>
        <v>0.6</v>
      </c>
      <c r="BQ38" s="160">
        <f>'CMF - Values'!$C$17</f>
        <v>0.75</v>
      </c>
      <c r="BR38" s="187">
        <f t="shared" si="12"/>
        <v>0.315</v>
      </c>
      <c r="BS38" s="189">
        <f t="shared" si="5"/>
        <v>0</v>
      </c>
      <c r="BT38" s="189">
        <f t="shared" si="6"/>
        <v>0</v>
      </c>
      <c r="BU38" s="189">
        <f t="shared" si="13"/>
        <v>0</v>
      </c>
      <c r="BV38" s="189">
        <f t="shared" si="14"/>
        <v>0</v>
      </c>
      <c r="BW38" s="139">
        <f t="shared" si="7"/>
        <v>0</v>
      </c>
      <c r="BX38" s="193">
        <f>BS38*'KABCO Level - Values'!$B$4</f>
        <v>0</v>
      </c>
      <c r="BY38" s="193">
        <f>BT38*'KABCO Level - Values'!$B$5</f>
        <v>0</v>
      </c>
      <c r="BZ38" s="193">
        <f>BU38*'KABCO Level - Values'!$B$6</f>
        <v>0</v>
      </c>
      <c r="CA38" s="193">
        <f>BV38*'KABCO Level - Values'!$B$7</f>
        <v>0</v>
      </c>
      <c r="CB38" s="196">
        <f>BW38*'KABCO Level - Values'!$B$8</f>
        <v>0</v>
      </c>
      <c r="CD38" s="302"/>
    </row>
    <row r="39" spans="1:82" s="123" customFormat="1" x14ac:dyDescent="0.25">
      <c r="A39" s="517"/>
      <c r="B39" s="511"/>
      <c r="C39" s="520"/>
      <c r="D39" s="493"/>
      <c r="E39" s="154" t="s">
        <v>174</v>
      </c>
      <c r="F39" s="304">
        <v>2.78</v>
      </c>
      <c r="G39" s="113">
        <v>0</v>
      </c>
      <c r="H39" s="113">
        <v>0</v>
      </c>
      <c r="I39" s="113">
        <v>0</v>
      </c>
      <c r="J39" s="118">
        <v>0</v>
      </c>
      <c r="K39" s="468">
        <f t="shared" si="0"/>
        <v>0.55599999999999994</v>
      </c>
      <c r="L39" s="138">
        <f t="shared" si="1"/>
        <v>0</v>
      </c>
      <c r="M39" s="138">
        <f t="shared" si="2"/>
        <v>0</v>
      </c>
      <c r="N39" s="138">
        <f t="shared" si="3"/>
        <v>0</v>
      </c>
      <c r="O39" s="139">
        <f t="shared" si="4"/>
        <v>0</v>
      </c>
      <c r="P39" s="158">
        <f>'CMF - Values'!$C$20</f>
        <v>0.95</v>
      </c>
      <c r="Q39" s="158">
        <f>'CMF - Values'!$C$8</f>
        <v>0.7</v>
      </c>
      <c r="R39" s="158">
        <f>'CMF - Values'!$C$5</f>
        <v>0.93</v>
      </c>
      <c r="S39" s="158">
        <f>'CMF - Values'!$C$16</f>
        <v>0.9</v>
      </c>
      <c r="T39" s="158">
        <f>'CMF - Values'!$C$11</f>
        <v>0.9</v>
      </c>
      <c r="U39" s="158">
        <f>'CMF - Values'!$C$10</f>
        <v>0.85</v>
      </c>
      <c r="V39" s="158">
        <f>'CMF - Values'!$C$9</f>
        <v>0.75</v>
      </c>
      <c r="W39" s="158">
        <f>'CMF - Values'!$C$14</f>
        <v>0.88249690258459546</v>
      </c>
      <c r="X39" s="158"/>
      <c r="Y39" s="158"/>
      <c r="Z39" s="179">
        <f t="shared" si="8"/>
        <v>0.44624999999999992</v>
      </c>
      <c r="AA39" s="164">
        <f>'CMF - Values'!$C$20</f>
        <v>0.95</v>
      </c>
      <c r="AB39" s="158">
        <f>'CMF - Values'!$C$8</f>
        <v>0.7</v>
      </c>
      <c r="AC39" s="158">
        <f>'CMF - Values'!$C$4</f>
        <v>0.85</v>
      </c>
      <c r="AD39" s="158">
        <f>'CMF - Values'!$C$16</f>
        <v>0.9</v>
      </c>
      <c r="AE39" s="158">
        <f>'CMF - Values'!$C$11</f>
        <v>0.9</v>
      </c>
      <c r="AF39" s="158">
        <f>'CMF - Values'!$C$10</f>
        <v>0.85</v>
      </c>
      <c r="AG39" s="158">
        <f>'CMF - Values'!$C$9</f>
        <v>0.75</v>
      </c>
      <c r="AH39" s="158">
        <f>'CMF - Values'!$C$14</f>
        <v>0.88249690258459546</v>
      </c>
      <c r="AI39" s="158"/>
      <c r="AJ39" s="158"/>
      <c r="AK39" s="179">
        <f t="shared" si="9"/>
        <v>0.44624999999999992</v>
      </c>
      <c r="AL39" s="164">
        <f>'CMF - Values'!$C$20</f>
        <v>0.95</v>
      </c>
      <c r="AM39" s="158">
        <f>'CMF - Values'!$C$8</f>
        <v>0.7</v>
      </c>
      <c r="AN39" s="158">
        <f>'CMF - Values'!$C$4</f>
        <v>0.85</v>
      </c>
      <c r="AO39" s="158">
        <f>'CMF - Values'!$C$16</f>
        <v>0.9</v>
      </c>
      <c r="AP39" s="158">
        <f>'CMF - Values'!$C$11</f>
        <v>0.9</v>
      </c>
      <c r="AQ39" s="158">
        <f>'CMF - Values'!$C$10</f>
        <v>0.85</v>
      </c>
      <c r="AR39" s="158">
        <f>'CMF - Values'!$C$9</f>
        <v>0.75</v>
      </c>
      <c r="AS39" s="158">
        <f>'CMF - Values'!$C$14</f>
        <v>0.88249690258459546</v>
      </c>
      <c r="AT39" s="158"/>
      <c r="AU39" s="158"/>
      <c r="AV39" s="179">
        <f t="shared" si="10"/>
        <v>0.44624999999999992</v>
      </c>
      <c r="AW39" s="164">
        <f>'CMF - Values'!$C$20</f>
        <v>0.95</v>
      </c>
      <c r="AX39" s="158">
        <f>'CMF - Values'!$C$8</f>
        <v>0.7</v>
      </c>
      <c r="AY39" s="158">
        <f>'CMF - Values'!$C$4</f>
        <v>0.85</v>
      </c>
      <c r="AZ39" s="158">
        <f>'CMF - Values'!$C$16</f>
        <v>0.9</v>
      </c>
      <c r="BA39" s="158">
        <f>'CMF - Values'!$C$11</f>
        <v>0.9</v>
      </c>
      <c r="BB39" s="158">
        <f>'CMF - Values'!$C$10</f>
        <v>0.85</v>
      </c>
      <c r="BC39" s="158">
        <f>'CMF - Values'!$C$9</f>
        <v>0.75</v>
      </c>
      <c r="BD39" s="158">
        <f>'CMF - Values'!$C$14</f>
        <v>0.88249690258459546</v>
      </c>
      <c r="BE39" s="158"/>
      <c r="BF39" s="158"/>
      <c r="BG39" s="179">
        <f t="shared" si="11"/>
        <v>0.44624999999999992</v>
      </c>
      <c r="BH39" s="158">
        <f>'CMF - Values'!$C$20</f>
        <v>0.95</v>
      </c>
      <c r="BI39" s="158">
        <f>'CMF - Values'!$C$8</f>
        <v>0.7</v>
      </c>
      <c r="BJ39" s="158">
        <f>'CMF - Values'!$C$4</f>
        <v>0.85</v>
      </c>
      <c r="BK39" s="158">
        <f>'CMF - Values'!$C$16</f>
        <v>0.9</v>
      </c>
      <c r="BL39" s="158">
        <f>'CMF - Values'!$C$11</f>
        <v>0.9</v>
      </c>
      <c r="BM39" s="158">
        <f>'CMF - Values'!$C$10</f>
        <v>0.85</v>
      </c>
      <c r="BN39" s="158">
        <f>'CMF - Values'!$C$9</f>
        <v>0.75</v>
      </c>
      <c r="BO39" s="158">
        <f>'CMF - Values'!$C$14</f>
        <v>0.88249690258459546</v>
      </c>
      <c r="BP39" s="158"/>
      <c r="BQ39" s="158"/>
      <c r="BR39" s="184">
        <f t="shared" si="12"/>
        <v>0.44624999999999992</v>
      </c>
      <c r="BS39" s="189">
        <f t="shared" si="5"/>
        <v>0.30788500000000002</v>
      </c>
      <c r="BT39" s="189">
        <f t="shared" si="6"/>
        <v>0</v>
      </c>
      <c r="BU39" s="189">
        <f t="shared" si="13"/>
        <v>0</v>
      </c>
      <c r="BV39" s="189">
        <f t="shared" si="14"/>
        <v>0</v>
      </c>
      <c r="BW39" s="139">
        <f t="shared" si="7"/>
        <v>0</v>
      </c>
      <c r="BX39" s="193">
        <f>BS39*'KABCO Level - Values'!$B$4</f>
        <v>985.23200000000008</v>
      </c>
      <c r="BY39" s="193">
        <f>BT39*'KABCO Level - Values'!$B$5</f>
        <v>0</v>
      </c>
      <c r="BZ39" s="193">
        <f>BU39*'KABCO Level - Values'!$B$6</f>
        <v>0</v>
      </c>
      <c r="CA39" s="193">
        <f>BV39*'KABCO Level - Values'!$B$7</f>
        <v>0</v>
      </c>
      <c r="CB39" s="196">
        <f>BW39*'KABCO Level - Values'!$B$8</f>
        <v>0</v>
      </c>
      <c r="CD39" s="302"/>
    </row>
    <row r="40" spans="1:82" s="123" customFormat="1" x14ac:dyDescent="0.25">
      <c r="A40" s="517"/>
      <c r="B40" s="511"/>
      <c r="C40" s="520"/>
      <c r="D40" s="493"/>
      <c r="E40" s="155" t="s">
        <v>202</v>
      </c>
      <c r="F40" s="304">
        <v>9.73</v>
      </c>
      <c r="G40" s="113">
        <v>2</v>
      </c>
      <c r="H40" s="113">
        <v>2</v>
      </c>
      <c r="I40" s="113">
        <v>0</v>
      </c>
      <c r="J40" s="119">
        <v>0</v>
      </c>
      <c r="K40" s="469">
        <f t="shared" si="0"/>
        <v>1.9460000000000002</v>
      </c>
      <c r="L40" s="142">
        <f t="shared" si="1"/>
        <v>0.4</v>
      </c>
      <c r="M40" s="142">
        <f t="shared" si="2"/>
        <v>0.4</v>
      </c>
      <c r="N40" s="142">
        <f t="shared" si="3"/>
        <v>0</v>
      </c>
      <c r="O40" s="143">
        <f t="shared" si="4"/>
        <v>0</v>
      </c>
      <c r="P40" s="159">
        <f>'CMF - Values'!$C$20</f>
        <v>0.95</v>
      </c>
      <c r="Q40" s="159">
        <f>'CMF - Values'!$C$8</f>
        <v>0.7</v>
      </c>
      <c r="R40" s="159">
        <f>'CMF - Values'!$C$5</f>
        <v>0.93</v>
      </c>
      <c r="S40" s="159">
        <f>'CMF - Values'!$C$16</f>
        <v>0.9</v>
      </c>
      <c r="T40" s="159">
        <f>'CMF - Values'!$C$11</f>
        <v>0.9</v>
      </c>
      <c r="U40" s="159">
        <f>'CMF - Values'!$C$10</f>
        <v>0.85</v>
      </c>
      <c r="V40" s="159">
        <f>'CMF - Values'!$C$9</f>
        <v>0.75</v>
      </c>
      <c r="W40" s="159"/>
      <c r="X40" s="159"/>
      <c r="Y40" s="159"/>
      <c r="Z40" s="180">
        <f t="shared" si="8"/>
        <v>0.44624999999999992</v>
      </c>
      <c r="AA40" s="176">
        <f>'CMF - Values'!$C$20</f>
        <v>0.95</v>
      </c>
      <c r="AB40" s="159">
        <f>'CMF - Values'!$C$8</f>
        <v>0.7</v>
      </c>
      <c r="AC40" s="159">
        <f>'CMF - Values'!$C$4</f>
        <v>0.85</v>
      </c>
      <c r="AD40" s="159">
        <f>'CMF - Values'!$C$16</f>
        <v>0.9</v>
      </c>
      <c r="AE40" s="159">
        <f>'CMF - Values'!$C$11</f>
        <v>0.9</v>
      </c>
      <c r="AF40" s="159">
        <f>'CMF - Values'!$C$10</f>
        <v>0.85</v>
      </c>
      <c r="AG40" s="159">
        <f>'CMF - Values'!$C$9</f>
        <v>0.75</v>
      </c>
      <c r="AH40" s="159"/>
      <c r="AI40" s="159"/>
      <c r="AJ40" s="159"/>
      <c r="AK40" s="180">
        <f t="shared" si="9"/>
        <v>0.44624999999999992</v>
      </c>
      <c r="AL40" s="176">
        <f>'CMF - Values'!$C$20</f>
        <v>0.95</v>
      </c>
      <c r="AM40" s="159">
        <f>'CMF - Values'!$C$8</f>
        <v>0.7</v>
      </c>
      <c r="AN40" s="159">
        <f>'CMF - Values'!$C$4</f>
        <v>0.85</v>
      </c>
      <c r="AO40" s="159">
        <f>'CMF - Values'!$C$16</f>
        <v>0.9</v>
      </c>
      <c r="AP40" s="159">
        <f>'CMF - Values'!$C$11</f>
        <v>0.9</v>
      </c>
      <c r="AQ40" s="159">
        <f>'CMF - Values'!$C$10</f>
        <v>0.85</v>
      </c>
      <c r="AR40" s="159">
        <f>'CMF - Values'!$C$9</f>
        <v>0.75</v>
      </c>
      <c r="AS40" s="159"/>
      <c r="AT40" s="159"/>
      <c r="AU40" s="159"/>
      <c r="AV40" s="180">
        <f t="shared" si="10"/>
        <v>0.44624999999999992</v>
      </c>
      <c r="AW40" s="176">
        <f>'CMF - Values'!$C$20</f>
        <v>0.95</v>
      </c>
      <c r="AX40" s="159">
        <f>'CMF - Values'!$C$8</f>
        <v>0.7</v>
      </c>
      <c r="AY40" s="159">
        <f>'CMF - Values'!$C$4</f>
        <v>0.85</v>
      </c>
      <c r="AZ40" s="159">
        <f>'CMF - Values'!$C$16</f>
        <v>0.9</v>
      </c>
      <c r="BA40" s="159">
        <f>'CMF - Values'!$C$11</f>
        <v>0.9</v>
      </c>
      <c r="BB40" s="159">
        <f>'CMF - Values'!$C$10</f>
        <v>0.85</v>
      </c>
      <c r="BC40" s="159">
        <f>'CMF - Values'!$C$9</f>
        <v>0.75</v>
      </c>
      <c r="BD40" s="159"/>
      <c r="BE40" s="159"/>
      <c r="BF40" s="159"/>
      <c r="BG40" s="180">
        <f t="shared" si="11"/>
        <v>0.44624999999999992</v>
      </c>
      <c r="BH40" s="159">
        <f>'CMF - Values'!$C$20</f>
        <v>0.95</v>
      </c>
      <c r="BI40" s="159">
        <f>'CMF - Values'!$C$8</f>
        <v>0.7</v>
      </c>
      <c r="BJ40" s="159">
        <f>'CMF - Values'!$C$4</f>
        <v>0.85</v>
      </c>
      <c r="BK40" s="159">
        <f>'CMF - Values'!$C$16</f>
        <v>0.9</v>
      </c>
      <c r="BL40" s="159">
        <f>'CMF - Values'!$C$11</f>
        <v>0.9</v>
      </c>
      <c r="BM40" s="159">
        <f>'CMF - Values'!$C$10</f>
        <v>0.85</v>
      </c>
      <c r="BN40" s="159">
        <f>'CMF - Values'!$C$9</f>
        <v>0.75</v>
      </c>
      <c r="BO40" s="159"/>
      <c r="BP40" s="159"/>
      <c r="BQ40" s="159"/>
      <c r="BR40" s="186">
        <f t="shared" si="12"/>
        <v>0.44624999999999992</v>
      </c>
      <c r="BS40" s="124">
        <f t="shared" si="5"/>
        <v>1.0775975000000002</v>
      </c>
      <c r="BT40" s="124">
        <f t="shared" si="6"/>
        <v>0.22150000000000003</v>
      </c>
      <c r="BU40" s="124">
        <f t="shared" si="13"/>
        <v>0.22150000000000003</v>
      </c>
      <c r="BV40" s="124">
        <f t="shared" si="14"/>
        <v>0</v>
      </c>
      <c r="BW40" s="143">
        <f t="shared" si="7"/>
        <v>0</v>
      </c>
      <c r="BX40" s="194">
        <f>BS40*'KABCO Level - Values'!$B$4</f>
        <v>3448.3120000000008</v>
      </c>
      <c r="BY40" s="194">
        <f>BT40*'KABCO Level - Values'!$B$5</f>
        <v>14153.850000000002</v>
      </c>
      <c r="BZ40" s="194">
        <f>BU40*'KABCO Level - Values'!$B$6</f>
        <v>27687.500000000004</v>
      </c>
      <c r="CA40" s="194">
        <f>BV40*'KABCO Level - Values'!$B$7</f>
        <v>0</v>
      </c>
      <c r="CB40" s="197">
        <f>BW40*'KABCO Level - Values'!$B$8</f>
        <v>0</v>
      </c>
      <c r="CD40" s="302"/>
    </row>
    <row r="41" spans="1:82" s="123" customFormat="1" x14ac:dyDescent="0.25">
      <c r="A41" s="517"/>
      <c r="B41" s="511"/>
      <c r="C41" s="520"/>
      <c r="D41" s="493" t="s">
        <v>202</v>
      </c>
      <c r="E41" s="156" t="s">
        <v>204</v>
      </c>
      <c r="F41" s="115">
        <v>0</v>
      </c>
      <c r="G41" s="115">
        <v>0</v>
      </c>
      <c r="H41" s="115">
        <v>0</v>
      </c>
      <c r="I41" s="115">
        <v>0</v>
      </c>
      <c r="J41" s="117">
        <v>0</v>
      </c>
      <c r="K41" s="470">
        <f t="shared" si="0"/>
        <v>0</v>
      </c>
      <c r="L41" s="146">
        <f t="shared" si="1"/>
        <v>0</v>
      </c>
      <c r="M41" s="146">
        <f t="shared" si="2"/>
        <v>0</v>
      </c>
      <c r="N41" s="146">
        <f t="shared" si="3"/>
        <v>0</v>
      </c>
      <c r="O41" s="471">
        <f t="shared" si="4"/>
        <v>0</v>
      </c>
      <c r="P41" s="160">
        <f>'CMF - Values'!$C$20</f>
        <v>0.95</v>
      </c>
      <c r="Q41" s="160">
        <f>'CMF - Values'!$C$6</f>
        <v>0.76</v>
      </c>
      <c r="R41" s="160">
        <f>'CMF - Values'!$C$5</f>
        <v>0.93</v>
      </c>
      <c r="S41" s="160">
        <f>'CMF - Values'!$C$16</f>
        <v>0.9</v>
      </c>
      <c r="T41" s="160">
        <f>'CMF - Values'!$C$11</f>
        <v>0.9</v>
      </c>
      <c r="U41" s="160">
        <f>'CMF - Values'!$C$10</f>
        <v>0.85</v>
      </c>
      <c r="V41" s="160">
        <f>'CMF - Values'!$C$9</f>
        <v>0.75</v>
      </c>
      <c r="W41" s="160">
        <f>'CMF - Values'!$C$19</f>
        <v>0.9</v>
      </c>
      <c r="X41" s="160">
        <f>'CMF - Values'!$C$15</f>
        <v>0.6</v>
      </c>
      <c r="Y41" s="160">
        <f>'CMF - Values'!$C$17</f>
        <v>0.75</v>
      </c>
      <c r="Z41" s="182">
        <f t="shared" si="8"/>
        <v>0.33749999999999997</v>
      </c>
      <c r="AA41" s="177">
        <f>'CMF - Values'!$C$20</f>
        <v>0.95</v>
      </c>
      <c r="AB41" s="160">
        <f>'CMF - Values'!$C$6</f>
        <v>0.76</v>
      </c>
      <c r="AC41" s="160">
        <f>'CMF - Values'!$C$4</f>
        <v>0.85</v>
      </c>
      <c r="AD41" s="160">
        <f>'CMF - Values'!$C$16</f>
        <v>0.9</v>
      </c>
      <c r="AE41" s="160">
        <f>'CMF - Values'!$C$11</f>
        <v>0.9</v>
      </c>
      <c r="AF41" s="160">
        <f>'CMF - Values'!$C$10</f>
        <v>0.85</v>
      </c>
      <c r="AG41" s="160">
        <f>'CMF - Values'!$C$9</f>
        <v>0.75</v>
      </c>
      <c r="AH41" s="160">
        <f>'CMF - Values'!$C$19</f>
        <v>0.9</v>
      </c>
      <c r="AI41" s="160">
        <f>'CMF - Values'!$C$15</f>
        <v>0.6</v>
      </c>
      <c r="AJ41" s="160">
        <f>'CMF - Values'!$C$17</f>
        <v>0.75</v>
      </c>
      <c r="AK41" s="182">
        <f t="shared" si="9"/>
        <v>0.33749999999999997</v>
      </c>
      <c r="AL41" s="177">
        <f>'CMF - Values'!$C$20</f>
        <v>0.95</v>
      </c>
      <c r="AM41" s="160">
        <f>'CMF - Values'!$C$6</f>
        <v>0.76</v>
      </c>
      <c r="AN41" s="160">
        <f>'CMF - Values'!$C$4</f>
        <v>0.85</v>
      </c>
      <c r="AO41" s="160">
        <f>'CMF - Values'!$C$16</f>
        <v>0.9</v>
      </c>
      <c r="AP41" s="160">
        <f>'CMF - Values'!$C$11</f>
        <v>0.9</v>
      </c>
      <c r="AQ41" s="160">
        <f>'CMF - Values'!$C$10</f>
        <v>0.85</v>
      </c>
      <c r="AR41" s="160">
        <f>'CMF - Values'!$C$9</f>
        <v>0.75</v>
      </c>
      <c r="AS41" s="160">
        <f>'CMF - Values'!$C$19</f>
        <v>0.9</v>
      </c>
      <c r="AT41" s="160">
        <f>'CMF - Values'!$C$15</f>
        <v>0.6</v>
      </c>
      <c r="AU41" s="160">
        <f>'CMF - Values'!$C$17</f>
        <v>0.75</v>
      </c>
      <c r="AV41" s="182">
        <f t="shared" si="10"/>
        <v>0.33749999999999997</v>
      </c>
      <c r="AW41" s="177">
        <f>'CMF - Values'!$C$20</f>
        <v>0.95</v>
      </c>
      <c r="AX41" s="160">
        <f>'CMF - Values'!$C$6</f>
        <v>0.76</v>
      </c>
      <c r="AY41" s="160">
        <f>'CMF - Values'!$C$4</f>
        <v>0.85</v>
      </c>
      <c r="AZ41" s="160">
        <f>'CMF - Values'!$C$16</f>
        <v>0.9</v>
      </c>
      <c r="BA41" s="160">
        <f>'CMF - Values'!$C$11</f>
        <v>0.9</v>
      </c>
      <c r="BB41" s="160">
        <f>'CMF - Values'!$C$10</f>
        <v>0.85</v>
      </c>
      <c r="BC41" s="160">
        <f>'CMF - Values'!$C$9</f>
        <v>0.75</v>
      </c>
      <c r="BD41" s="160">
        <f>'CMF - Values'!$C$19</f>
        <v>0.9</v>
      </c>
      <c r="BE41" s="160">
        <f>'CMF - Values'!$C$15</f>
        <v>0.6</v>
      </c>
      <c r="BF41" s="160">
        <f>'CMF - Values'!$C$17</f>
        <v>0.75</v>
      </c>
      <c r="BG41" s="182">
        <f t="shared" si="11"/>
        <v>0.33749999999999997</v>
      </c>
      <c r="BH41" s="160">
        <f>'CMF - Values'!$C$20</f>
        <v>0.95</v>
      </c>
      <c r="BI41" s="160">
        <f>'CMF - Values'!$C$6</f>
        <v>0.76</v>
      </c>
      <c r="BJ41" s="160">
        <f>'CMF - Values'!$C$4</f>
        <v>0.85</v>
      </c>
      <c r="BK41" s="160">
        <f>'CMF - Values'!$C$16</f>
        <v>0.9</v>
      </c>
      <c r="BL41" s="160">
        <f>'CMF - Values'!$C$11</f>
        <v>0.9</v>
      </c>
      <c r="BM41" s="160">
        <f>'CMF - Values'!$C$10</f>
        <v>0.85</v>
      </c>
      <c r="BN41" s="160">
        <f>'CMF - Values'!$C$9</f>
        <v>0.75</v>
      </c>
      <c r="BO41" s="160">
        <f>'CMF - Values'!$C$19</f>
        <v>0.9</v>
      </c>
      <c r="BP41" s="160">
        <f>'CMF - Values'!$C$15</f>
        <v>0.6</v>
      </c>
      <c r="BQ41" s="160">
        <f>'CMF - Values'!$C$17</f>
        <v>0.75</v>
      </c>
      <c r="BR41" s="187">
        <f t="shared" si="12"/>
        <v>0.33749999999999997</v>
      </c>
      <c r="BS41" s="189">
        <f t="shared" si="5"/>
        <v>0</v>
      </c>
      <c r="BT41" s="189">
        <f t="shared" si="6"/>
        <v>0</v>
      </c>
      <c r="BU41" s="189">
        <f t="shared" si="13"/>
        <v>0</v>
      </c>
      <c r="BV41" s="189">
        <f t="shared" si="14"/>
        <v>0</v>
      </c>
      <c r="BW41" s="139">
        <f t="shared" si="7"/>
        <v>0</v>
      </c>
      <c r="BX41" s="193">
        <f>BS41*'KABCO Level - Values'!$B$4</f>
        <v>0</v>
      </c>
      <c r="BY41" s="193">
        <f>BT41*'KABCO Level - Values'!$B$5</f>
        <v>0</v>
      </c>
      <c r="BZ41" s="193">
        <f>BU41*'KABCO Level - Values'!$B$6</f>
        <v>0</v>
      </c>
      <c r="CA41" s="193">
        <f>BV41*'KABCO Level - Values'!$B$7</f>
        <v>0</v>
      </c>
      <c r="CB41" s="196">
        <f>BW41*'KABCO Level - Values'!$B$8</f>
        <v>0</v>
      </c>
      <c r="CD41" s="302"/>
    </row>
    <row r="42" spans="1:82" s="123" customFormat="1" x14ac:dyDescent="0.25">
      <c r="A42" s="517"/>
      <c r="B42" s="511"/>
      <c r="C42" s="520"/>
      <c r="D42" s="493"/>
      <c r="E42" s="154" t="s">
        <v>174</v>
      </c>
      <c r="F42" s="304">
        <v>0</v>
      </c>
      <c r="G42" s="113">
        <v>0</v>
      </c>
      <c r="H42" s="113">
        <v>0</v>
      </c>
      <c r="I42" s="113">
        <v>1</v>
      </c>
      <c r="J42" s="118">
        <v>0</v>
      </c>
      <c r="K42" s="468">
        <f t="shared" si="0"/>
        <v>0</v>
      </c>
      <c r="L42" s="138">
        <f t="shared" si="1"/>
        <v>0</v>
      </c>
      <c r="M42" s="138">
        <f t="shared" si="2"/>
        <v>0</v>
      </c>
      <c r="N42" s="138">
        <f t="shared" si="3"/>
        <v>0.2</v>
      </c>
      <c r="O42" s="139">
        <f t="shared" si="4"/>
        <v>0</v>
      </c>
      <c r="P42" s="158">
        <f>'CMF - Values'!$C$20</f>
        <v>0.95</v>
      </c>
      <c r="Q42" s="158">
        <f>'CMF - Values'!$C$6</f>
        <v>0.76</v>
      </c>
      <c r="R42" s="158">
        <f>'CMF - Values'!$C$5</f>
        <v>0.93</v>
      </c>
      <c r="S42" s="158">
        <f>'CMF - Values'!$C$16</f>
        <v>0.9</v>
      </c>
      <c r="T42" s="158">
        <f>'CMF - Values'!$C$11</f>
        <v>0.9</v>
      </c>
      <c r="U42" s="158">
        <f>'CMF - Values'!$C$10</f>
        <v>0.85</v>
      </c>
      <c r="V42" s="158">
        <f>'CMF - Values'!$C$9</f>
        <v>0.75</v>
      </c>
      <c r="W42" s="158">
        <f>'CMF - Values'!$C$14</f>
        <v>0.88249690258459546</v>
      </c>
      <c r="X42" s="158"/>
      <c r="Y42" s="158"/>
      <c r="Z42" s="179">
        <f t="shared" si="8"/>
        <v>0.48450000000000004</v>
      </c>
      <c r="AA42" s="164">
        <f>'CMF - Values'!$C$20</f>
        <v>0.95</v>
      </c>
      <c r="AB42" s="158">
        <f>'CMF - Values'!$C$6</f>
        <v>0.76</v>
      </c>
      <c r="AC42" s="158">
        <f>'CMF - Values'!$C$4</f>
        <v>0.85</v>
      </c>
      <c r="AD42" s="158">
        <f>'CMF - Values'!$C$16</f>
        <v>0.9</v>
      </c>
      <c r="AE42" s="158">
        <f>'CMF - Values'!$C$11</f>
        <v>0.9</v>
      </c>
      <c r="AF42" s="158">
        <f>'CMF - Values'!$C$10</f>
        <v>0.85</v>
      </c>
      <c r="AG42" s="158">
        <f>'CMF - Values'!$C$9</f>
        <v>0.75</v>
      </c>
      <c r="AH42" s="158">
        <f>'CMF - Values'!$C$14</f>
        <v>0.88249690258459546</v>
      </c>
      <c r="AI42" s="158"/>
      <c r="AJ42" s="158"/>
      <c r="AK42" s="179">
        <f t="shared" si="9"/>
        <v>0.48450000000000004</v>
      </c>
      <c r="AL42" s="164">
        <f>'CMF - Values'!$C$20</f>
        <v>0.95</v>
      </c>
      <c r="AM42" s="158">
        <f>'CMF - Values'!$C$6</f>
        <v>0.76</v>
      </c>
      <c r="AN42" s="158">
        <f>'CMF - Values'!$C$4</f>
        <v>0.85</v>
      </c>
      <c r="AO42" s="158">
        <f>'CMF - Values'!$C$16</f>
        <v>0.9</v>
      </c>
      <c r="AP42" s="158">
        <f>'CMF - Values'!$C$11</f>
        <v>0.9</v>
      </c>
      <c r="AQ42" s="158">
        <f>'CMF - Values'!$C$10</f>
        <v>0.85</v>
      </c>
      <c r="AR42" s="158">
        <f>'CMF - Values'!$C$9</f>
        <v>0.75</v>
      </c>
      <c r="AS42" s="158">
        <f>'CMF - Values'!$C$14</f>
        <v>0.88249690258459546</v>
      </c>
      <c r="AT42" s="158"/>
      <c r="AU42" s="158"/>
      <c r="AV42" s="179">
        <f t="shared" si="10"/>
        <v>0.48450000000000004</v>
      </c>
      <c r="AW42" s="164">
        <f>'CMF - Values'!$C$20</f>
        <v>0.95</v>
      </c>
      <c r="AX42" s="158">
        <f>'CMF - Values'!$C$6</f>
        <v>0.76</v>
      </c>
      <c r="AY42" s="158">
        <f>'CMF - Values'!$C$4</f>
        <v>0.85</v>
      </c>
      <c r="AZ42" s="158">
        <f>'CMF - Values'!$C$16</f>
        <v>0.9</v>
      </c>
      <c r="BA42" s="158">
        <f>'CMF - Values'!$C$11</f>
        <v>0.9</v>
      </c>
      <c r="BB42" s="158">
        <f>'CMF - Values'!$C$10</f>
        <v>0.85</v>
      </c>
      <c r="BC42" s="158">
        <f>'CMF - Values'!$C$9</f>
        <v>0.75</v>
      </c>
      <c r="BD42" s="158">
        <f>'CMF - Values'!$C$14</f>
        <v>0.88249690258459546</v>
      </c>
      <c r="BE42" s="158"/>
      <c r="BF42" s="158"/>
      <c r="BG42" s="179">
        <f t="shared" si="11"/>
        <v>0.48450000000000004</v>
      </c>
      <c r="BH42" s="158">
        <f>'CMF - Values'!$C$20</f>
        <v>0.95</v>
      </c>
      <c r="BI42" s="158">
        <f>'CMF - Values'!$C$6</f>
        <v>0.76</v>
      </c>
      <c r="BJ42" s="158">
        <f>'CMF - Values'!$C$4</f>
        <v>0.85</v>
      </c>
      <c r="BK42" s="158">
        <f>'CMF - Values'!$C$16</f>
        <v>0.9</v>
      </c>
      <c r="BL42" s="158">
        <f>'CMF - Values'!$C$11</f>
        <v>0.9</v>
      </c>
      <c r="BM42" s="158">
        <f>'CMF - Values'!$C$10</f>
        <v>0.85</v>
      </c>
      <c r="BN42" s="158">
        <f>'CMF - Values'!$C$9</f>
        <v>0.75</v>
      </c>
      <c r="BO42" s="158">
        <f>'CMF - Values'!$C$14</f>
        <v>0.88249690258459546</v>
      </c>
      <c r="BP42" s="158"/>
      <c r="BQ42" s="158"/>
      <c r="BR42" s="184">
        <f t="shared" si="12"/>
        <v>0.48450000000000004</v>
      </c>
      <c r="BS42" s="189">
        <f t="shared" si="5"/>
        <v>0</v>
      </c>
      <c r="BT42" s="189">
        <f t="shared" si="6"/>
        <v>0</v>
      </c>
      <c r="BU42" s="189">
        <f t="shared" si="13"/>
        <v>0</v>
      </c>
      <c r="BV42" s="189">
        <f t="shared" si="14"/>
        <v>0.1031</v>
      </c>
      <c r="BW42" s="139">
        <f t="shared" si="7"/>
        <v>0</v>
      </c>
      <c r="BX42" s="193">
        <f>BS42*'KABCO Level - Values'!$B$4</f>
        <v>0</v>
      </c>
      <c r="BY42" s="193">
        <f>BT42*'KABCO Level - Values'!$B$5</f>
        <v>0</v>
      </c>
      <c r="BZ42" s="193">
        <f>BU42*'KABCO Level - Values'!$B$6</f>
        <v>0</v>
      </c>
      <c r="CA42" s="193">
        <f>BV42*'KABCO Level - Values'!$B$7</f>
        <v>47333.21</v>
      </c>
      <c r="CB42" s="196">
        <f>BW42*'KABCO Level - Values'!$B$8</f>
        <v>0</v>
      </c>
      <c r="CD42" s="302"/>
    </row>
    <row r="43" spans="1:82" s="123" customFormat="1" ht="15.75" thickBot="1" x14ac:dyDescent="0.3">
      <c r="A43" s="518"/>
      <c r="B43" s="512"/>
      <c r="C43" s="521"/>
      <c r="D43" s="523"/>
      <c r="E43" s="157" t="s">
        <v>202</v>
      </c>
      <c r="F43" s="309">
        <v>150.12</v>
      </c>
      <c r="G43" s="120">
        <v>2</v>
      </c>
      <c r="H43" s="120">
        <v>1</v>
      </c>
      <c r="I43" s="120">
        <v>1</v>
      </c>
      <c r="J43" s="121">
        <v>0</v>
      </c>
      <c r="K43" s="472">
        <f t="shared" si="0"/>
        <v>30.024000000000001</v>
      </c>
      <c r="L43" s="149">
        <f t="shared" si="1"/>
        <v>0.4</v>
      </c>
      <c r="M43" s="149">
        <f t="shared" si="2"/>
        <v>0.2</v>
      </c>
      <c r="N43" s="149">
        <f t="shared" si="3"/>
        <v>0.2</v>
      </c>
      <c r="O43" s="150">
        <f t="shared" si="4"/>
        <v>0</v>
      </c>
      <c r="P43" s="161">
        <f>'CMF - Values'!$C$20</f>
        <v>0.95</v>
      </c>
      <c r="Q43" s="161">
        <f>'CMF - Values'!$C$6</f>
        <v>0.76</v>
      </c>
      <c r="R43" s="161">
        <f>'CMF - Values'!$C$5</f>
        <v>0.93</v>
      </c>
      <c r="S43" s="161">
        <f>'CMF - Values'!$C$16</f>
        <v>0.9</v>
      </c>
      <c r="T43" s="161">
        <f>'CMF - Values'!$C$11</f>
        <v>0.9</v>
      </c>
      <c r="U43" s="161">
        <f>'CMF - Values'!$C$10</f>
        <v>0.85</v>
      </c>
      <c r="V43" s="161">
        <f>'CMF - Values'!$C$9</f>
        <v>0.75</v>
      </c>
      <c r="W43" s="161"/>
      <c r="X43" s="161"/>
      <c r="Y43" s="161"/>
      <c r="Z43" s="181">
        <f t="shared" si="8"/>
        <v>0.48450000000000004</v>
      </c>
      <c r="AA43" s="165">
        <f>'CMF - Values'!$C$20</f>
        <v>0.95</v>
      </c>
      <c r="AB43" s="161">
        <f>'CMF - Values'!$C$6</f>
        <v>0.76</v>
      </c>
      <c r="AC43" s="161">
        <f>'CMF - Values'!$C$4</f>
        <v>0.85</v>
      </c>
      <c r="AD43" s="161">
        <f>'CMF - Values'!$C$16</f>
        <v>0.9</v>
      </c>
      <c r="AE43" s="161">
        <f>'CMF - Values'!$C$11</f>
        <v>0.9</v>
      </c>
      <c r="AF43" s="161">
        <f>'CMF - Values'!$C$10</f>
        <v>0.85</v>
      </c>
      <c r="AG43" s="161">
        <f>'CMF - Values'!$C$9</f>
        <v>0.75</v>
      </c>
      <c r="AH43" s="161"/>
      <c r="AI43" s="161"/>
      <c r="AJ43" s="161"/>
      <c r="AK43" s="181">
        <f t="shared" si="9"/>
        <v>0.48450000000000004</v>
      </c>
      <c r="AL43" s="165">
        <f>'CMF - Values'!$C$20</f>
        <v>0.95</v>
      </c>
      <c r="AM43" s="161">
        <f>'CMF - Values'!$C$6</f>
        <v>0.76</v>
      </c>
      <c r="AN43" s="161">
        <f>'CMF - Values'!$C$4</f>
        <v>0.85</v>
      </c>
      <c r="AO43" s="161">
        <f>'CMF - Values'!$C$16</f>
        <v>0.9</v>
      </c>
      <c r="AP43" s="161">
        <f>'CMF - Values'!$C$11</f>
        <v>0.9</v>
      </c>
      <c r="AQ43" s="161">
        <f>'CMF - Values'!$C$10</f>
        <v>0.85</v>
      </c>
      <c r="AR43" s="161">
        <f>'CMF - Values'!$C$9</f>
        <v>0.75</v>
      </c>
      <c r="AS43" s="161"/>
      <c r="AT43" s="161"/>
      <c r="AU43" s="161"/>
      <c r="AV43" s="181">
        <f t="shared" si="10"/>
        <v>0.48450000000000004</v>
      </c>
      <c r="AW43" s="165">
        <f>'CMF - Values'!$C$20</f>
        <v>0.95</v>
      </c>
      <c r="AX43" s="161">
        <f>'CMF - Values'!$C$6</f>
        <v>0.76</v>
      </c>
      <c r="AY43" s="161">
        <f>'CMF - Values'!$C$4</f>
        <v>0.85</v>
      </c>
      <c r="AZ43" s="161">
        <f>'CMF - Values'!$C$16</f>
        <v>0.9</v>
      </c>
      <c r="BA43" s="161">
        <f>'CMF - Values'!$C$11</f>
        <v>0.9</v>
      </c>
      <c r="BB43" s="161">
        <f>'CMF - Values'!$C$10</f>
        <v>0.85</v>
      </c>
      <c r="BC43" s="161">
        <f>'CMF - Values'!$C$9</f>
        <v>0.75</v>
      </c>
      <c r="BD43" s="161"/>
      <c r="BE43" s="161"/>
      <c r="BF43" s="161"/>
      <c r="BG43" s="181">
        <f t="shared" si="11"/>
        <v>0.48450000000000004</v>
      </c>
      <c r="BH43" s="161">
        <f>'CMF - Values'!$C$20</f>
        <v>0.95</v>
      </c>
      <c r="BI43" s="161">
        <f>'CMF - Values'!$C$6</f>
        <v>0.76</v>
      </c>
      <c r="BJ43" s="161">
        <f>'CMF - Values'!$C$4</f>
        <v>0.85</v>
      </c>
      <c r="BK43" s="161">
        <f>'CMF - Values'!$C$16</f>
        <v>0.9</v>
      </c>
      <c r="BL43" s="161">
        <f>'CMF - Values'!$C$11</f>
        <v>0.9</v>
      </c>
      <c r="BM43" s="161">
        <f>'CMF - Values'!$C$10</f>
        <v>0.85</v>
      </c>
      <c r="BN43" s="161">
        <f>'CMF - Values'!$C$9</f>
        <v>0.75</v>
      </c>
      <c r="BO43" s="161"/>
      <c r="BP43" s="161"/>
      <c r="BQ43" s="161"/>
      <c r="BR43" s="185">
        <f t="shared" si="12"/>
        <v>0.48450000000000004</v>
      </c>
      <c r="BS43" s="190">
        <f t="shared" si="5"/>
        <v>15.477371999999999</v>
      </c>
      <c r="BT43" s="190">
        <f t="shared" si="6"/>
        <v>0.20619999999999999</v>
      </c>
      <c r="BU43" s="190">
        <f t="shared" si="13"/>
        <v>0.1031</v>
      </c>
      <c r="BV43" s="190">
        <f t="shared" si="14"/>
        <v>0.1031</v>
      </c>
      <c r="BW43" s="150">
        <f t="shared" si="7"/>
        <v>0</v>
      </c>
      <c r="BX43" s="195">
        <f>BS43*'KABCO Level - Values'!$B$4</f>
        <v>49527.590399999994</v>
      </c>
      <c r="BY43" s="195">
        <f>BT43*'KABCO Level - Values'!$B$5</f>
        <v>13176.18</v>
      </c>
      <c r="BZ43" s="195">
        <f>BU43*'KABCO Level - Values'!$B$6</f>
        <v>12887.5</v>
      </c>
      <c r="CA43" s="195">
        <f>BV43*'KABCO Level - Values'!$B$7</f>
        <v>47333.21</v>
      </c>
      <c r="CB43" s="199">
        <f>BW43*'KABCO Level - Values'!$B$8</f>
        <v>0</v>
      </c>
      <c r="CD43" s="302"/>
    </row>
    <row r="44" spans="1:82" s="64" customFormat="1" ht="15.75" thickBot="1" x14ac:dyDescent="0.3">
      <c r="A44" s="122"/>
      <c r="B44" s="108"/>
      <c r="C44" s="108"/>
      <c r="D44" s="114"/>
      <c r="E44" s="108"/>
      <c r="F44" s="108"/>
      <c r="G44" s="108"/>
      <c r="H44" s="108"/>
      <c r="I44" s="108"/>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W44" s="191" t="s">
        <v>227</v>
      </c>
      <c r="BX44" s="234">
        <f t="shared" ref="BX44:CB44" si="15">SUM(BX6:BX43)</f>
        <v>3239527.2016801215</v>
      </c>
      <c r="BY44" s="234">
        <f t="shared" si="15"/>
        <v>7221857.7401999999</v>
      </c>
      <c r="BZ44" s="234">
        <f t="shared" si="15"/>
        <v>2384555</v>
      </c>
      <c r="CA44" s="234">
        <f t="shared" si="15"/>
        <v>2167787.5619999999</v>
      </c>
      <c r="CB44" s="235">
        <f t="shared" si="15"/>
        <v>11078688</v>
      </c>
      <c r="CD44" s="302"/>
    </row>
    <row r="45" spans="1:82" s="64" customFormat="1" x14ac:dyDescent="0.25">
      <c r="A45" s="122"/>
      <c r="B45" s="108"/>
      <c r="C45" s="108"/>
      <c r="D45" s="108"/>
      <c r="E45" s="108"/>
      <c r="F45" s="108"/>
      <c r="G45" s="108"/>
      <c r="H45" s="108"/>
      <c r="I45" s="108"/>
    </row>
    <row r="46" spans="1:82" x14ac:dyDescent="0.25">
      <c r="A46" s="21" t="s">
        <v>38</v>
      </c>
      <c r="B46" s="21"/>
      <c r="C46" s="21"/>
      <c r="D46" s="129"/>
      <c r="F46"/>
      <c r="N46" s="301"/>
    </row>
    <row r="47" spans="1:82" x14ac:dyDescent="0.25">
      <c r="A47" s="2" t="s">
        <v>170</v>
      </c>
      <c r="B47" s="2"/>
      <c r="C47" s="2"/>
      <c r="D47" s="130"/>
      <c r="N47" s="112"/>
      <c r="BR47" s="282"/>
    </row>
    <row r="48" spans="1:82" x14ac:dyDescent="0.25">
      <c r="A48" s="2" t="s">
        <v>480</v>
      </c>
      <c r="B48" s="2"/>
      <c r="C48" s="2"/>
      <c r="D48" s="130"/>
      <c r="BR48" s="303"/>
    </row>
    <row r="49" spans="1:9" x14ac:dyDescent="0.25">
      <c r="A49" s="2" t="s">
        <v>347</v>
      </c>
      <c r="B49" s="2"/>
      <c r="C49" s="2"/>
      <c r="D49" s="130"/>
    </row>
    <row r="50" spans="1:9" x14ac:dyDescent="0.25">
      <c r="A50" s="2" t="s">
        <v>288</v>
      </c>
      <c r="B50" s="2"/>
      <c r="C50" s="2"/>
      <c r="D50" s="130"/>
    </row>
    <row r="51" spans="1:9" x14ac:dyDescent="0.25">
      <c r="A51" s="2" t="s">
        <v>282</v>
      </c>
      <c r="B51" s="2"/>
      <c r="C51" s="2"/>
      <c r="D51" s="130"/>
    </row>
    <row r="54" spans="1:9" x14ac:dyDescent="0.25">
      <c r="A54" s="128"/>
      <c r="B54" s="135" t="s">
        <v>57</v>
      </c>
      <c r="C54" s="135"/>
      <c r="D54"/>
      <c r="E54" s="22" t="s">
        <v>171</v>
      </c>
      <c r="F54" s="22"/>
    </row>
    <row r="55" spans="1:9" x14ac:dyDescent="0.25">
      <c r="E55" s="22" t="s">
        <v>223</v>
      </c>
      <c r="F55" s="22"/>
    </row>
    <row r="56" spans="1:9" x14ac:dyDescent="0.25">
      <c r="E56" s="22" t="s">
        <v>224</v>
      </c>
      <c r="F56" s="22"/>
    </row>
    <row r="57" spans="1:9" x14ac:dyDescent="0.25">
      <c r="E57" s="22" t="s">
        <v>222</v>
      </c>
      <c r="F57" s="22"/>
    </row>
    <row r="58" spans="1:9" x14ac:dyDescent="0.25">
      <c r="E58"/>
      <c r="F58" s="22"/>
    </row>
    <row r="59" spans="1:9" x14ac:dyDescent="0.25">
      <c r="A59" s="2" t="s">
        <v>284</v>
      </c>
      <c r="B59" s="2"/>
      <c r="C59" s="2"/>
      <c r="D59" s="130"/>
      <c r="E59"/>
      <c r="F59" s="22"/>
    </row>
    <row r="60" spans="1:9" x14ac:dyDescent="0.25">
      <c r="A60" s="125" t="s">
        <v>283</v>
      </c>
      <c r="B60" s="125"/>
      <c r="C60" s="125"/>
      <c r="D60" s="131"/>
      <c r="E60" s="126"/>
      <c r="F60" s="126"/>
      <c r="G60" s="127"/>
      <c r="H60" s="127"/>
      <c r="I60" s="127"/>
    </row>
    <row r="61" spans="1:9" x14ac:dyDescent="0.25">
      <c r="A61" s="2" t="s">
        <v>285</v>
      </c>
    </row>
  </sheetData>
  <mergeCells count="29">
    <mergeCell ref="D26:D28"/>
    <mergeCell ref="B14:B43"/>
    <mergeCell ref="B6:B13"/>
    <mergeCell ref="A6:A43"/>
    <mergeCell ref="C14:C28"/>
    <mergeCell ref="C29:C43"/>
    <mergeCell ref="C6:D9"/>
    <mergeCell ref="C10:D13"/>
    <mergeCell ref="D29:D31"/>
    <mergeCell ref="D32:D34"/>
    <mergeCell ref="D35:D37"/>
    <mergeCell ref="D38:D40"/>
    <mergeCell ref="D41:D43"/>
    <mergeCell ref="D14:D16"/>
    <mergeCell ref="D17:D19"/>
    <mergeCell ref="D20:D22"/>
    <mergeCell ref="D23:D25"/>
    <mergeCell ref="F3:J3"/>
    <mergeCell ref="BX3:CB3"/>
    <mergeCell ref="BS3:BW3"/>
    <mergeCell ref="A1:CB1"/>
    <mergeCell ref="P4:Z4"/>
    <mergeCell ref="AA4:AK4"/>
    <mergeCell ref="AL4:AV4"/>
    <mergeCell ref="AW4:BG4"/>
    <mergeCell ref="BH4:BR4"/>
    <mergeCell ref="A3:E5"/>
    <mergeCell ref="K3:O3"/>
    <mergeCell ref="P3:BR3"/>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A1:H31"/>
  <sheetViews>
    <sheetView workbookViewId="0">
      <selection activeCell="C43" sqref="C43"/>
    </sheetView>
  </sheetViews>
  <sheetFormatPr defaultRowHeight="15" x14ac:dyDescent="0.25"/>
  <cols>
    <col min="1" max="1" width="9.7109375" style="4" customWidth="1"/>
    <col min="2" max="2" width="72.140625" style="4" bestFit="1" customWidth="1"/>
    <col min="3" max="3" width="12" style="4" customWidth="1"/>
    <col min="4" max="4" width="21.85546875" style="4" customWidth="1"/>
    <col min="5" max="5" width="25.5703125" style="4" bestFit="1" customWidth="1"/>
    <col min="6" max="6" width="27.42578125" style="4" bestFit="1" customWidth="1"/>
    <col min="7" max="7" width="11.42578125" style="4" bestFit="1" customWidth="1"/>
    <col min="8" max="8" width="85.42578125" style="4" bestFit="1" customWidth="1"/>
  </cols>
  <sheetData>
    <row r="1" spans="1:8" x14ac:dyDescent="0.25">
      <c r="A1" s="478" t="s">
        <v>190</v>
      </c>
      <c r="B1" s="478"/>
      <c r="C1" s="478"/>
      <c r="D1" s="478"/>
      <c r="E1" s="478"/>
      <c r="F1" s="478"/>
      <c r="G1" s="478"/>
      <c r="H1" s="478"/>
    </row>
    <row r="3" spans="1:8" s="1" customFormat="1" x14ac:dyDescent="0.25">
      <c r="A3" s="66" t="s">
        <v>121</v>
      </c>
      <c r="B3" s="66" t="s">
        <v>122</v>
      </c>
      <c r="C3" s="66" t="s">
        <v>123</v>
      </c>
      <c r="D3" s="66" t="s">
        <v>124</v>
      </c>
      <c r="E3" s="66" t="s">
        <v>125</v>
      </c>
      <c r="F3" s="66" t="s">
        <v>130</v>
      </c>
      <c r="G3" s="66" t="s">
        <v>126</v>
      </c>
      <c r="H3" s="66" t="s">
        <v>128</v>
      </c>
    </row>
    <row r="4" spans="1:8" x14ac:dyDescent="0.25">
      <c r="A4" s="106">
        <v>62</v>
      </c>
      <c r="B4" s="6" t="s">
        <v>127</v>
      </c>
      <c r="C4" s="106">
        <v>0.85</v>
      </c>
      <c r="D4" s="6" t="s">
        <v>129</v>
      </c>
      <c r="E4" s="6" t="s">
        <v>165</v>
      </c>
      <c r="F4" s="6" t="s">
        <v>131</v>
      </c>
      <c r="G4" s="6" t="s">
        <v>129</v>
      </c>
      <c r="H4" s="107" t="s">
        <v>132</v>
      </c>
    </row>
    <row r="5" spans="1:8" x14ac:dyDescent="0.25">
      <c r="A5" s="106">
        <v>63</v>
      </c>
      <c r="B5" s="6" t="s">
        <v>127</v>
      </c>
      <c r="C5" s="106">
        <v>0.93</v>
      </c>
      <c r="D5" s="6" t="s">
        <v>129</v>
      </c>
      <c r="E5" s="6" t="s">
        <v>133</v>
      </c>
      <c r="F5" s="6" t="s">
        <v>131</v>
      </c>
      <c r="G5" s="6" t="s">
        <v>129</v>
      </c>
      <c r="H5" s="107" t="s">
        <v>134</v>
      </c>
    </row>
    <row r="6" spans="1:8" x14ac:dyDescent="0.25">
      <c r="A6" s="106">
        <v>194</v>
      </c>
      <c r="B6" s="6" t="s">
        <v>135</v>
      </c>
      <c r="C6" s="106">
        <v>0.76</v>
      </c>
      <c r="D6" s="6" t="s">
        <v>129</v>
      </c>
      <c r="E6" s="6" t="s">
        <v>129</v>
      </c>
      <c r="F6" s="6" t="s">
        <v>129</v>
      </c>
      <c r="G6" s="6" t="s">
        <v>129</v>
      </c>
      <c r="H6" s="107" t="s">
        <v>136</v>
      </c>
    </row>
    <row r="7" spans="1:8" x14ac:dyDescent="0.25">
      <c r="A7" s="106">
        <v>197</v>
      </c>
      <c r="B7" s="6" t="s">
        <v>135</v>
      </c>
      <c r="C7" s="106">
        <v>0.57999999999999996</v>
      </c>
      <c r="D7" s="6" t="s">
        <v>137</v>
      </c>
      <c r="E7" s="6" t="s">
        <v>129</v>
      </c>
      <c r="F7" s="6" t="s">
        <v>129</v>
      </c>
      <c r="G7" s="6" t="s">
        <v>129</v>
      </c>
      <c r="H7" s="107" t="s">
        <v>138</v>
      </c>
    </row>
    <row r="8" spans="1:8" x14ac:dyDescent="0.25">
      <c r="A8" s="106">
        <v>198</v>
      </c>
      <c r="B8" s="6" t="s">
        <v>135</v>
      </c>
      <c r="C8" s="106">
        <v>0.7</v>
      </c>
      <c r="D8" s="6" t="s">
        <v>139</v>
      </c>
      <c r="E8" s="6" t="s">
        <v>129</v>
      </c>
      <c r="F8" s="6" t="s">
        <v>129</v>
      </c>
      <c r="G8" s="6" t="s">
        <v>129</v>
      </c>
      <c r="H8" s="107" t="s">
        <v>140</v>
      </c>
    </row>
    <row r="9" spans="1:8" ht="17.25" x14ac:dyDescent="0.25">
      <c r="A9" s="106">
        <v>1263</v>
      </c>
      <c r="B9" s="6" t="s">
        <v>168</v>
      </c>
      <c r="C9" s="106">
        <v>0.75</v>
      </c>
      <c r="D9" s="6" t="s">
        <v>129</v>
      </c>
      <c r="E9" s="6" t="s">
        <v>129</v>
      </c>
      <c r="F9" s="6" t="s">
        <v>129</v>
      </c>
      <c r="G9" s="6" t="s">
        <v>193</v>
      </c>
      <c r="H9" s="107" t="s">
        <v>169</v>
      </c>
    </row>
    <row r="10" spans="1:8" x14ac:dyDescent="0.25">
      <c r="A10" s="106">
        <v>1410</v>
      </c>
      <c r="B10" s="6" t="s">
        <v>141</v>
      </c>
      <c r="C10" s="106">
        <v>0.85</v>
      </c>
      <c r="D10" s="6" t="s">
        <v>129</v>
      </c>
      <c r="E10" s="6" t="s">
        <v>129</v>
      </c>
      <c r="F10" s="6" t="s">
        <v>148</v>
      </c>
      <c r="G10" s="6" t="s">
        <v>129</v>
      </c>
      <c r="H10" s="107" t="s">
        <v>157</v>
      </c>
    </row>
    <row r="11" spans="1:8" x14ac:dyDescent="0.25">
      <c r="A11" s="106">
        <v>1413</v>
      </c>
      <c r="B11" s="6" t="s">
        <v>147</v>
      </c>
      <c r="C11" s="106">
        <v>0.9</v>
      </c>
      <c r="D11" s="6" t="s">
        <v>129</v>
      </c>
      <c r="E11" s="6" t="s">
        <v>129</v>
      </c>
      <c r="F11" s="6" t="s">
        <v>148</v>
      </c>
      <c r="G11" s="6" t="s">
        <v>129</v>
      </c>
      <c r="H11" s="107" t="s">
        <v>150</v>
      </c>
    </row>
    <row r="12" spans="1:8" x14ac:dyDescent="0.25">
      <c r="A12" s="106">
        <v>1418</v>
      </c>
      <c r="B12" s="6" t="s">
        <v>147</v>
      </c>
      <c r="C12" s="106">
        <v>0.57999999999999996</v>
      </c>
      <c r="D12" s="6" t="s">
        <v>151</v>
      </c>
      <c r="E12" s="6" t="s">
        <v>129</v>
      </c>
      <c r="F12" s="6" t="s">
        <v>148</v>
      </c>
      <c r="G12" s="6" t="s">
        <v>129</v>
      </c>
      <c r="H12" s="107" t="s">
        <v>152</v>
      </c>
    </row>
    <row r="13" spans="1:8" x14ac:dyDescent="0.25">
      <c r="A13" s="106">
        <v>1802</v>
      </c>
      <c r="B13" s="6" t="s">
        <v>162</v>
      </c>
      <c r="C13" s="106">
        <v>0.1</v>
      </c>
      <c r="D13" s="6" t="s">
        <v>156</v>
      </c>
      <c r="E13" s="6" t="s">
        <v>129</v>
      </c>
      <c r="F13" s="6" t="s">
        <v>129</v>
      </c>
      <c r="G13" s="6" t="s">
        <v>129</v>
      </c>
      <c r="H13" s="107" t="s">
        <v>163</v>
      </c>
    </row>
    <row r="14" spans="1:8" x14ac:dyDescent="0.25">
      <c r="A14" s="106">
        <v>2950</v>
      </c>
      <c r="B14" s="6" t="s">
        <v>142</v>
      </c>
      <c r="C14" s="200">
        <f>EXP(0.125*(3-4))</f>
        <v>0.88249690258459546</v>
      </c>
      <c r="D14" s="6" t="s">
        <v>143</v>
      </c>
      <c r="E14" s="6" t="s">
        <v>129</v>
      </c>
      <c r="F14" s="6" t="s">
        <v>149</v>
      </c>
      <c r="G14" s="6" t="s">
        <v>129</v>
      </c>
      <c r="H14" s="107" t="s">
        <v>144</v>
      </c>
    </row>
    <row r="15" spans="1:8" x14ac:dyDescent="0.25">
      <c r="A15" s="106">
        <v>4123</v>
      </c>
      <c r="B15" s="6" t="s">
        <v>145</v>
      </c>
      <c r="C15" s="106">
        <v>0.6</v>
      </c>
      <c r="D15" s="6" t="s">
        <v>156</v>
      </c>
      <c r="E15" s="6" t="s">
        <v>129</v>
      </c>
      <c r="F15" s="6" t="s">
        <v>166</v>
      </c>
      <c r="G15" s="6" t="s">
        <v>129</v>
      </c>
      <c r="H15" s="107" t="s">
        <v>146</v>
      </c>
    </row>
    <row r="16" spans="1:8" x14ac:dyDescent="0.25">
      <c r="A16" s="106" t="s">
        <v>194</v>
      </c>
      <c r="B16" s="6" t="s">
        <v>153</v>
      </c>
      <c r="C16" s="106">
        <v>0.9</v>
      </c>
      <c r="D16" s="6" t="s">
        <v>129</v>
      </c>
      <c r="E16" s="6" t="s">
        <v>129</v>
      </c>
      <c r="F16" s="6" t="s">
        <v>148</v>
      </c>
      <c r="G16" s="6" t="s">
        <v>129</v>
      </c>
      <c r="H16" s="107" t="s">
        <v>154</v>
      </c>
    </row>
    <row r="17" spans="1:8" x14ac:dyDescent="0.25">
      <c r="A17" s="106" t="s">
        <v>195</v>
      </c>
      <c r="B17" s="6" t="s">
        <v>155</v>
      </c>
      <c r="C17" s="106">
        <v>0.75</v>
      </c>
      <c r="D17" s="6" t="s">
        <v>156</v>
      </c>
      <c r="E17" s="6" t="s">
        <v>129</v>
      </c>
      <c r="F17" s="6" t="s">
        <v>148</v>
      </c>
      <c r="G17" s="6" t="s">
        <v>129</v>
      </c>
      <c r="H17" s="107" t="s">
        <v>154</v>
      </c>
    </row>
    <row r="18" spans="1:8" x14ac:dyDescent="0.25">
      <c r="A18" s="106" t="s">
        <v>196</v>
      </c>
      <c r="B18" s="6" t="s">
        <v>160</v>
      </c>
      <c r="C18" s="106">
        <v>0.7</v>
      </c>
      <c r="D18" s="6" t="s">
        <v>158</v>
      </c>
      <c r="E18" s="6" t="s">
        <v>129</v>
      </c>
      <c r="F18" s="6" t="s">
        <v>159</v>
      </c>
      <c r="G18" s="6" t="s">
        <v>129</v>
      </c>
      <c r="H18" s="107" t="s">
        <v>154</v>
      </c>
    </row>
    <row r="19" spans="1:8" x14ac:dyDescent="0.25">
      <c r="A19" s="106" t="s">
        <v>197</v>
      </c>
      <c r="B19" s="6" t="s">
        <v>160</v>
      </c>
      <c r="C19" s="106">
        <v>0.9</v>
      </c>
      <c r="D19" s="6" t="s">
        <v>161</v>
      </c>
      <c r="E19" s="6" t="s">
        <v>129</v>
      </c>
      <c r="F19" s="6" t="s">
        <v>159</v>
      </c>
      <c r="G19" s="6" t="s">
        <v>129</v>
      </c>
      <c r="H19" s="107" t="s">
        <v>154</v>
      </c>
    </row>
    <row r="20" spans="1:8" x14ac:dyDescent="0.25">
      <c r="A20" s="106" t="s">
        <v>198</v>
      </c>
      <c r="B20" s="6" t="s">
        <v>167</v>
      </c>
      <c r="C20" s="106">
        <v>0.95</v>
      </c>
      <c r="D20" s="6" t="s">
        <v>129</v>
      </c>
      <c r="E20" s="6" t="s">
        <v>129</v>
      </c>
      <c r="F20" s="6" t="s">
        <v>129</v>
      </c>
      <c r="G20" s="6" t="s">
        <v>129</v>
      </c>
      <c r="H20" s="107" t="s">
        <v>154</v>
      </c>
    </row>
    <row r="21" spans="1:8" x14ac:dyDescent="0.25">
      <c r="H21" s="105"/>
    </row>
    <row r="22" spans="1:8" x14ac:dyDescent="0.25">
      <c r="H22" s="105"/>
    </row>
    <row r="23" spans="1:8" x14ac:dyDescent="0.25">
      <c r="H23" s="105"/>
    </row>
    <row r="24" spans="1:8" x14ac:dyDescent="0.25">
      <c r="H24" s="105"/>
    </row>
    <row r="25" spans="1:8" x14ac:dyDescent="0.25">
      <c r="H25" s="105"/>
    </row>
    <row r="26" spans="1:8" x14ac:dyDescent="0.25">
      <c r="H26" s="105"/>
    </row>
    <row r="27" spans="1:8" x14ac:dyDescent="0.25">
      <c r="H27" s="105"/>
    </row>
    <row r="28" spans="1:8" x14ac:dyDescent="0.25">
      <c r="H28" s="105"/>
    </row>
    <row r="29" spans="1:8" x14ac:dyDescent="0.25">
      <c r="C29" s="4" t="s">
        <v>164</v>
      </c>
      <c r="H29" s="105"/>
    </row>
    <row r="30" spans="1:8" x14ac:dyDescent="0.25">
      <c r="H30" s="105"/>
    </row>
    <row r="31" spans="1:8" x14ac:dyDescent="0.25">
      <c r="H31" s="105"/>
    </row>
  </sheetData>
  <mergeCells count="1">
    <mergeCell ref="A1:H1"/>
  </mergeCells>
  <hyperlinks>
    <hyperlink ref="H4" r:id="rId1"/>
    <hyperlink ref="H5" r:id="rId2"/>
    <hyperlink ref="H6" r:id="rId3"/>
    <hyperlink ref="H7" r:id="rId4"/>
    <hyperlink ref="H8" r:id="rId5"/>
    <hyperlink ref="H14" r:id="rId6"/>
    <hyperlink ref="H15" r:id="rId7"/>
    <hyperlink ref="H11" r:id="rId8"/>
    <hyperlink ref="H12" r:id="rId9"/>
    <hyperlink ref="H16" r:id="rId10"/>
    <hyperlink ref="H17" r:id="rId11"/>
    <hyperlink ref="H10" r:id="rId12"/>
    <hyperlink ref="H18" r:id="rId13"/>
    <hyperlink ref="H19" r:id="rId14"/>
    <hyperlink ref="H13" r:id="rId15"/>
    <hyperlink ref="H20" r:id="rId16"/>
    <hyperlink ref="H9" r:id="rId17"/>
  </hyperlinks>
  <pageMargins left="0.7" right="0.7" top="0.75" bottom="0.75" header="0.3" footer="0.3"/>
  <pageSetup scale="46" orientation="landscape" horizontalDpi="1200" verticalDpi="1200"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39997558519241921"/>
  </sheetPr>
  <dimension ref="A1:N18"/>
  <sheetViews>
    <sheetView workbookViewId="0">
      <selection activeCell="I38" sqref="I38"/>
    </sheetView>
  </sheetViews>
  <sheetFormatPr defaultRowHeight="15" x14ac:dyDescent="0.25"/>
  <cols>
    <col min="1" max="1" width="44.140625" customWidth="1"/>
    <col min="2" max="2" width="27" customWidth="1"/>
    <col min="3" max="5" width="12.7109375" style="3" customWidth="1"/>
    <col min="6" max="6" width="13.7109375" style="3" customWidth="1"/>
    <col min="7" max="9" width="12.7109375" style="3" customWidth="1"/>
    <col min="12" max="13" width="12.7109375" customWidth="1"/>
    <col min="14" max="14" width="12.7109375" style="4" customWidth="1"/>
    <col min="15" max="16" width="12.7109375" customWidth="1"/>
  </cols>
  <sheetData>
    <row r="1" spans="1:14" x14ac:dyDescent="0.25">
      <c r="A1" s="478" t="s">
        <v>81</v>
      </c>
      <c r="B1" s="478"/>
      <c r="C1" s="65"/>
    </row>
    <row r="2" spans="1:14" x14ac:dyDescent="0.25">
      <c r="A2" s="36"/>
      <c r="B2" s="36"/>
      <c r="C2" s="36"/>
    </row>
    <row r="3" spans="1:14" x14ac:dyDescent="0.25">
      <c r="A3" s="10" t="s">
        <v>82</v>
      </c>
      <c r="B3" s="10" t="s">
        <v>119</v>
      </c>
      <c r="C3" s="34"/>
    </row>
    <row r="4" spans="1:14" x14ac:dyDescent="0.25">
      <c r="A4" s="16" t="s">
        <v>2</v>
      </c>
      <c r="B4" s="7">
        <v>3200</v>
      </c>
    </row>
    <row r="5" spans="1:14" x14ac:dyDescent="0.25">
      <c r="A5" s="16" t="s">
        <v>3</v>
      </c>
      <c r="B5" s="7">
        <v>63900</v>
      </c>
    </row>
    <row r="6" spans="1:14" x14ac:dyDescent="0.25">
      <c r="A6" s="16" t="s">
        <v>83</v>
      </c>
      <c r="B6" s="7">
        <v>125000</v>
      </c>
    </row>
    <row r="7" spans="1:14" x14ac:dyDescent="0.25">
      <c r="A7" s="16" t="s">
        <v>4</v>
      </c>
      <c r="B7" s="7">
        <v>459100</v>
      </c>
    </row>
    <row r="8" spans="1:14" x14ac:dyDescent="0.25">
      <c r="A8" s="16" t="s">
        <v>5</v>
      </c>
      <c r="B8" s="7">
        <v>9600000</v>
      </c>
    </row>
    <row r="9" spans="1:14" x14ac:dyDescent="0.25">
      <c r="A9" s="16" t="s">
        <v>84</v>
      </c>
      <c r="B9" s="7">
        <v>174000</v>
      </c>
    </row>
    <row r="10" spans="1:14" x14ac:dyDescent="0.25">
      <c r="A10" s="16" t="s">
        <v>85</v>
      </c>
      <c r="B10" s="7">
        <v>132200</v>
      </c>
    </row>
    <row r="11" spans="1:14" x14ac:dyDescent="0.25">
      <c r="A11" s="47" t="s">
        <v>88</v>
      </c>
    </row>
    <row r="12" spans="1:14" x14ac:dyDescent="0.25">
      <c r="A12" s="48"/>
    </row>
    <row r="13" spans="1:14" x14ac:dyDescent="0.25">
      <c r="A13" s="10" t="s">
        <v>120</v>
      </c>
      <c r="B13" s="7">
        <v>4252</v>
      </c>
    </row>
    <row r="14" spans="1:14" x14ac:dyDescent="0.25">
      <c r="A14" s="48"/>
    </row>
    <row r="15" spans="1:14" s="41" customFormat="1" x14ac:dyDescent="0.25">
      <c r="A15" s="40" t="s">
        <v>1</v>
      </c>
      <c r="C15" s="42"/>
      <c r="D15" s="42"/>
      <c r="E15" s="42"/>
      <c r="F15" s="42"/>
      <c r="G15" s="42"/>
      <c r="H15" s="42"/>
      <c r="I15" s="42"/>
      <c r="N15" s="43"/>
    </row>
    <row r="16" spans="1:14" s="41" customFormat="1" x14ac:dyDescent="0.25">
      <c r="A16" s="2" t="s">
        <v>86</v>
      </c>
      <c r="B16" s="44"/>
      <c r="C16" s="42"/>
      <c r="D16" s="42"/>
      <c r="E16" s="42"/>
      <c r="F16" s="42"/>
      <c r="G16" s="42"/>
      <c r="H16" s="42"/>
      <c r="I16" s="42"/>
      <c r="N16" s="43"/>
    </row>
    <row r="17" spans="1:14" s="41" customFormat="1" x14ac:dyDescent="0.25">
      <c r="A17" s="46" t="s">
        <v>87</v>
      </c>
      <c r="B17" s="45"/>
      <c r="C17" s="42"/>
      <c r="D17" s="42"/>
      <c r="E17" s="42"/>
      <c r="F17" s="42"/>
      <c r="G17" s="42"/>
      <c r="H17" s="42"/>
      <c r="I17" s="42"/>
      <c r="N17" s="43"/>
    </row>
    <row r="18" spans="1:14" x14ac:dyDescent="0.25">
      <c r="L18" s="2"/>
    </row>
  </sheetData>
  <mergeCells count="1">
    <mergeCell ref="A1:B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Summary Matrix</vt:lpstr>
      <vt:lpstr>BCA Results</vt:lpstr>
      <vt:lpstr>TOTAL Travel Time</vt:lpstr>
      <vt:lpstr>Travel Time - Calc</vt:lpstr>
      <vt:lpstr>Travel Time - Value</vt:lpstr>
      <vt:lpstr>TOTAL Safety Benefits</vt:lpstr>
      <vt:lpstr>Safety Benefits - Calc</vt:lpstr>
      <vt:lpstr>CMF - Values</vt:lpstr>
      <vt:lpstr>KABCO Level - Values</vt:lpstr>
      <vt:lpstr>TOTAL Emissions</vt:lpstr>
      <vt:lpstr>Emission - Calc (Non-CO2)</vt:lpstr>
      <vt:lpstr>Emission - Calc (CO2)</vt:lpstr>
      <vt:lpstr>Emission - Values</vt:lpstr>
      <vt:lpstr>TOTAL Fuel Savings</vt:lpstr>
      <vt:lpstr>Fuel Savings - Calc</vt:lpstr>
      <vt:lpstr>Fuel Savings - Values</vt:lpstr>
      <vt:lpstr>ITS &amp; Connected Veh Savings</vt:lpstr>
      <vt:lpstr>ITS &amp; Connected Veh - Back Calc</vt:lpstr>
      <vt:lpstr>Operations &amp; Maintenance Costs</vt:lpstr>
      <vt:lpstr>Inflation Adjustment - Values</vt:lpstr>
    </vt:vector>
  </TitlesOfParts>
  <Company>Hubbell Roth &amp; Clark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Heqimi, Gentjan</dc:creator>
  <cp:lastModifiedBy>Heqimi, Gentjan</cp:lastModifiedBy>
  <cp:lastPrinted>2017-10-02T14:18:29Z</cp:lastPrinted>
  <dcterms:created xsi:type="dcterms:W3CDTF">2017-01-31T15:42:56Z</dcterms:created>
  <dcterms:modified xsi:type="dcterms:W3CDTF">2017-10-02T16:56:56Z</dcterms:modified>
</cp:coreProperties>
</file>